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0" yWindow="500" windowWidth="12780" windowHeight="7320" activeTab="0"/>
  </bookViews>
  <sheets>
    <sheet name="印刷用" sheetId="1" r:id="rId1"/>
    <sheet name="PAKテスト希釈用" sheetId="2" r:id="rId2"/>
    <sheet name="牛ふん堆肥計算用" sheetId="3" r:id="rId3"/>
    <sheet name="豚ぷん堆肥計算用" sheetId="4" r:id="rId4"/>
    <sheet name="地温換算用シート" sheetId="5" r:id="rId5"/>
    <sheet name="鶏ふん堆肥計算用" sheetId="6" r:id="rId6"/>
  </sheets>
  <definedNames>
    <definedName name="_xlnm.Print_Area" localSheetId="1">'PAKテスト希釈用'!$A$2:$I$7</definedName>
    <definedName name="_xlnm.Print_Area" localSheetId="2">'牛ふん堆肥計算用'!$A$1:$W$66</definedName>
  </definedNames>
  <calcPr fullCalcOnLoad="1"/>
</workbook>
</file>

<file path=xl/sharedStrings.xml><?xml version="1.0" encoding="utf-8"?>
<sst xmlns="http://schemas.openxmlformats.org/spreadsheetml/2006/main" count="795" uniqueCount="243">
  <si>
    <t>東北・北陸（新潟県三条市）</t>
  </si>
  <si>
    <t>関東（茨城県つくば市）</t>
  </si>
  <si>
    <t>北海道（札幌市）</t>
  </si>
  <si>
    <t>東海（岐阜県岐阜市）</t>
  </si>
  <si>
    <t>中国・近畿（広島県福山市）</t>
  </si>
  <si>
    <t>四国・九州（福岡県筑後市）</t>
  </si>
  <si>
    <t>窒素有機化量（mg/g・乾物）</t>
  </si>
  <si>
    <t>↑</t>
  </si>
  <si>
    <t>スタンダード（NH4）</t>
  </si>
  <si>
    <t>スタンダード（NO3）</t>
  </si>
  <si>
    <t>3以下は1を引き補正する</t>
  </si>
  <si>
    <t>通常は容器ごと重量測定せず、ろ紙＋残さ、灰のみを測定する</t>
  </si>
  <si>
    <t>（容器＋）ろ紙＋乾燥残さ重量：</t>
  </si>
  <si>
    <t>乾燥残さ重量</t>
  </si>
  <si>
    <t>（容器＋）ろ紙＋乾燥残さの灰の重量：</t>
  </si>
  <si>
    <t>分析結果シート（牛ふん堆肥専用）</t>
  </si>
  <si>
    <t>水分量</t>
  </si>
  <si>
    <t>（％）</t>
  </si>
  <si>
    <t>窒素</t>
  </si>
  <si>
    <t>速効性</t>
  </si>
  <si>
    <t>リン酸</t>
  </si>
  <si>
    <t>カリ</t>
  </si>
  <si>
    <t>石灰</t>
  </si>
  <si>
    <t>苦土</t>
  </si>
  <si>
    <t>↑0だとAD可溶有機物250未満として扱う</t>
  </si>
  <si>
    <t>乾物率未測定の場合50%として窒素を計算する。見た目で判断する場合、適宜数値をO7に入力する。</t>
  </si>
  <si>
    <t>乾物率未測定の場合70%として窒素を計算する。見た目で判断する場合、適宜数値をO7に入力する。</t>
  </si>
  <si>
    <t>乾物率未測定の場合80%として窒素を計算する。見た目で判断する場合、適宜数値をO7に入力する。</t>
  </si>
  <si>
    <t>乾物あたりの肥料成分供給量</t>
  </si>
  <si>
    <t>カリ</t>
  </si>
  <si>
    <t>mL</t>
  </si>
  <si>
    <t>ppm</t>
  </si>
  <si>
    <t>スタンダード（NH4）</t>
  </si>
  <si>
    <t>スタンダード（NO3）</t>
  </si>
  <si>
    <t>4-(3) PAKテスト(COD(D))</t>
  </si>
  <si>
    <t>g</t>
  </si>
  <si>
    <t>抽出液＋水：</t>
  </si>
  <si>
    <t>NO3-N, ppm</t>
  </si>
  <si>
    <t>サンプル</t>
  </si>
  <si>
    <t>抽出液中の窒素（AD分差し引き）, NO3-N, ppm</t>
  </si>
  <si>
    <t>0.2AD中の窒素</t>
  </si>
  <si>
    <t>スタンダード（NO3-N）</t>
  </si>
  <si>
    <t>ppm</t>
  </si>
  <si>
    <t>ppm</t>
  </si>
  <si>
    <t>corr</t>
  </si>
  <si>
    <t>測定反復がある場合に記入</t>
  </si>
  <si>
    <t>容器＋水分が多い堆肥の重量（E）：</t>
  </si>
  <si>
    <t>g</t>
  </si>
  <si>
    <t>測定反復がある場合に記入</t>
  </si>
  <si>
    <t>g</t>
  </si>
  <si>
    <t>g</t>
  </si>
  <si>
    <t>（容器＋）ろ紙＋乾燥残さ重量：</t>
  </si>
  <si>
    <t>g</t>
  </si>
  <si>
    <t>（容器＋）ろ紙＋乾燥残渣の灰の重量：</t>
  </si>
  <si>
    <t>サンプル</t>
  </si>
  <si>
    <t>滴定値（g）：</t>
  </si>
  <si>
    <t>PAK</t>
  </si>
  <si>
    <t>KMnO4</t>
  </si>
  <si>
    <t>デタージェント溶液</t>
  </si>
  <si>
    <t>地温係数</t>
  </si>
  <si>
    <t>30日</t>
  </si>
  <si>
    <t>90日</t>
  </si>
  <si>
    <t>データ計算用シート（豚ぷん堆肥専用）</t>
  </si>
  <si>
    <t>分析結果シート（豚ぷん堆肥専用）</t>
  </si>
  <si>
    <t>←「地温換算用シート」で係数を選び、入力して下さい</t>
  </si>
  <si>
    <t>←水稲では穂肥まで、それ以降に変えて下さい</t>
  </si>
  <si>
    <t>3-(1) 塩酸抽出</t>
  </si>
  <si>
    <t>試料重量：</t>
  </si>
  <si>
    <t>3-(3) アンモニア測定</t>
  </si>
  <si>
    <t>希釈倍率：</t>
  </si>
  <si>
    <t>倍；</t>
  </si>
  <si>
    <t>RQの読み：</t>
  </si>
  <si>
    <t>3-(4) 硝酸測定</t>
  </si>
  <si>
    <t>3-(5) リン酸測定</t>
  </si>
  <si>
    <t>3-(6) カリウム測定</t>
  </si>
  <si>
    <t>3-(8) マグネシウム測定</t>
  </si>
  <si>
    <t>3-(7)カルシウム測定</t>
  </si>
  <si>
    <t>4-(2) デタージェント抽出</t>
  </si>
  <si>
    <t>4-(3) PAKテスト(COD(D))</t>
  </si>
  <si>
    <t>抽出液：</t>
  </si>
  <si>
    <t>g</t>
  </si>
  <si>
    <t>読み：</t>
  </si>
  <si>
    <t>4-(5) AD可溶窒素（硝酸）</t>
  </si>
  <si>
    <t>PAKテストの測定値が無い場合、6になります（密閉縦型方式の場合）。その場合、AD可溶有機物を測定しないと、正確な予測が出来ません。</t>
  </si>
  <si>
    <t>カリ</t>
  </si>
  <si>
    <t>ppm</t>
  </si>
  <si>
    <t>スタンダード（NH4）</t>
  </si>
  <si>
    <t>データ計算用シート（鶏ふん堆肥・副資材なし専用）</t>
  </si>
  <si>
    <t>←パッケージに記載がある場合、入力する</t>
  </si>
  <si>
    <t>全窒素（％）</t>
  </si>
  <si>
    <t>分析結果シート（鶏ふん堆肥・副資材なし専用）</t>
  </si>
  <si>
    <t>AD可溶有機物量250の判定</t>
  </si>
  <si>
    <t>ろ紙重量：</t>
  </si>
  <si>
    <t>容器＋水分が多い堆肥の重量（E）：</t>
  </si>
  <si>
    <t>ppm</t>
  </si>
  <si>
    <t>ppm</t>
  </si>
  <si>
    <t>g</t>
  </si>
  <si>
    <t>g</t>
  </si>
  <si>
    <t>g</t>
  </si>
  <si>
    <t>ppm</t>
  </si>
  <si>
    <t>スタンダード（NO3-N）</t>
  </si>
  <si>
    <t>ppm</t>
  </si>
  <si>
    <t>4-(3) PAKテスト(COD(D))</t>
  </si>
  <si>
    <t>抽出液＋水：</t>
  </si>
  <si>
    <t>容器＋水分が多い堆肥の重量（E）：</t>
  </si>
  <si>
    <t>g</t>
  </si>
  <si>
    <t>g</t>
  </si>
  <si>
    <t>デタージェント溶液</t>
  </si>
  <si>
    <t>グルコース標準液</t>
  </si>
  <si>
    <t>デタージェント溶液</t>
  </si>
  <si>
    <t>分析日：      　 年　 　月　 　日</t>
  </si>
  <si>
    <t>分析日：      　 年　 　月　 　日</t>
  </si>
  <si>
    <t>g</t>
  </si>
  <si>
    <t>g</t>
  </si>
  <si>
    <t>g</t>
  </si>
  <si>
    <t>g</t>
  </si>
  <si>
    <t>デタージェント溶液</t>
  </si>
  <si>
    <t>スタンダード（水）</t>
  </si>
  <si>
    <t>3-(1) 酢酸緩衝液抽出</t>
  </si>
  <si>
    <t>（４反復）</t>
  </si>
  <si>
    <t>※必要に応じて、以下の項目も使って下さい</t>
  </si>
  <si>
    <t>測定反復がある場合に記入</t>
  </si>
  <si>
    <t>測定反復がある場合に記入</t>
  </si>
  <si>
    <t>水分が多い堆肥を風乾し、その一部を取って乾物測定を行う場合</t>
  </si>
  <si>
    <t>AD可溶有機物(mg/g・乾物)</t>
  </si>
  <si>
    <t>スタンダード（NH4）</t>
  </si>
  <si>
    <t>スタンダード（NO3）</t>
  </si>
  <si>
    <t>乾燥・灰化容器重量：</t>
  </si>
  <si>
    <t>AD差引滴定値</t>
  </si>
  <si>
    <t>滴定値（g）：</t>
  </si>
  <si>
    <t>滴定値（g）：</t>
  </si>
  <si>
    <t>堆肥1</t>
  </si>
  <si>
    <t>堆肥2</t>
  </si>
  <si>
    <t>堆肥3</t>
  </si>
  <si>
    <t>堆肥4</t>
  </si>
  <si>
    <t>※以下は鶏ふん堆肥（副資材なし）で酢酸緩衝液抽出を行った場合の入力項目</t>
  </si>
  <si>
    <t>C/N</t>
  </si>
  <si>
    <t>データ計算用シート（牛ふん堆肥専用）</t>
  </si>
  <si>
    <t>堆肥重量</t>
  </si>
  <si>
    <t>乾燥堆肥重量</t>
  </si>
  <si>
    <t>容器の重量を差し引く</t>
  </si>
  <si>
    <t>水分量（％）</t>
  </si>
  <si>
    <t xml:space="preserve"> --------- kg/ton 現物 ---------</t>
  </si>
  <si>
    <t>緩効性</t>
  </si>
  <si>
    <t>PAK</t>
  </si>
  <si>
    <t>KMnO4</t>
  </si>
  <si>
    <t>灰化</t>
  </si>
  <si>
    <t>緩効性窒素がマイナスになった場合は0にして下さい</t>
  </si>
  <si>
    <t>AD可溶有機物の有無の判定</t>
  </si>
  <si>
    <t>↑0だと無いものとして扱う</t>
  </si>
  <si>
    <t xml:space="preserve"> --------- kg/ton 乾物 ---------</t>
  </si>
  <si>
    <t>現物あたりの肥料成分供給量</t>
  </si>
  <si>
    <t>希釈倍率 x 抽出液の量</t>
  </si>
  <si>
    <t>No.</t>
  </si>
  <si>
    <t>抽出液の量 (mL)</t>
  </si>
  <si>
    <t>希釈倍率 x 0.1</t>
  </si>
  <si>
    <t>　　　　　　</t>
  </si>
  <si>
    <t>（４反復）</t>
  </si>
  <si>
    <t>検量線</t>
  </si>
  <si>
    <t>傾き</t>
  </si>
  <si>
    <t>切片</t>
  </si>
  <si>
    <t>測定値の平均</t>
  </si>
  <si>
    <t>抽出液中の窒素</t>
  </si>
  <si>
    <t>0.2AD中の窒素</t>
  </si>
  <si>
    <t>施用日</t>
  </si>
  <si>
    <t>30日後</t>
  </si>
  <si>
    <t>60日後</t>
  </si>
  <si>
    <t>90日後</t>
  </si>
  <si>
    <t>120日後</t>
  </si>
  <si>
    <t>1/1</t>
  </si>
  <si>
    <t>2/1</t>
  </si>
  <si>
    <t>3/1</t>
  </si>
  <si>
    <t>4/1</t>
  </si>
  <si>
    <t>5/1</t>
  </si>
  <si>
    <t>6/1</t>
  </si>
  <si>
    <t>7/1</t>
  </si>
  <si>
    <t>8/1</t>
  </si>
  <si>
    <t>9/1</t>
  </si>
  <si>
    <t>10/1</t>
  </si>
  <si>
    <t>11/1</t>
  </si>
  <si>
    <t>12/1</t>
  </si>
  <si>
    <t>(mg/g・乾物)</t>
  </si>
  <si>
    <t>抽出液中の窒素（AD分差し引き）, NO3-N, ppm</t>
  </si>
  <si>
    <t>NO3-N, ppm</t>
  </si>
  <si>
    <t>AD可溶窒素, mg/g・乾物</t>
  </si>
  <si>
    <t>データ記録用シート</t>
  </si>
  <si>
    <t>サンプル名：</t>
  </si>
  <si>
    <t>種別：</t>
  </si>
  <si>
    <t>牛</t>
  </si>
  <si>
    <t>分析者：</t>
  </si>
  <si>
    <t>1-(2) 乾物率</t>
  </si>
  <si>
    <t>容器重量（A）：</t>
  </si>
  <si>
    <t>容器＋堆肥重量（B）：</t>
  </si>
  <si>
    <t>容器＋乾燥堆肥重量（C）：</t>
  </si>
  <si>
    <t>g</t>
  </si>
  <si>
    <t>乾物率（％）</t>
  </si>
  <si>
    <t xml:space="preserve"> デタージェント抽出
試料重量(g)</t>
  </si>
  <si>
    <t>乾物率 (%)</t>
  </si>
  <si>
    <t>希釈倍率</t>
  </si>
  <si>
    <t>抽出液 0.10mL に加える水の量 (mL)</t>
  </si>
  <si>
    <t>抽出液の
重量 (g)</t>
  </si>
  <si>
    <t>水+抽出液の重量 (g)</t>
  </si>
  <si>
    <t>750 x 現物重 x 乾物率 ÷ 100 ÷ 1.5</t>
  </si>
  <si>
    <t>抽出液の量 x 0.103</t>
  </si>
  <si>
    <t>希釈倍率を別のシートで計算した場合、直接入力する</t>
  </si>
  <si>
    <t>～　　　　日</t>
  </si>
  <si>
    <t>豚</t>
  </si>
  <si>
    <t>鶏</t>
  </si>
  <si>
    <t>該当に○</t>
  </si>
  <si>
    <t>g</t>
  </si>
  <si>
    <t>g</t>
  </si>
  <si>
    <t>g</t>
  </si>
  <si>
    <t>スタンダード（NO3-N）</t>
  </si>
  <si>
    <t>容器重量（D）：</t>
  </si>
  <si>
    <t>容器＋風乾堆肥重量（F）：</t>
  </si>
  <si>
    <t>容器＋風乾堆肥重量（B）：</t>
  </si>
  <si>
    <t>1-(3) 粗灰分</t>
  </si>
  <si>
    <t>抽出液＋水：</t>
  </si>
  <si>
    <t>4-(4) KMnO4滴定</t>
  </si>
  <si>
    <t>サンプル</t>
  </si>
  <si>
    <t>6以上の場合AD可溶窒素測定</t>
  </si>
  <si>
    <t>風乾後に抽出した場合、風乾物の乾物率を入力する</t>
  </si>
  <si>
    <t>スタンダードの濃度・測定値が入力されると補正されます</t>
  </si>
  <si>
    <t>mL</t>
  </si>
  <si>
    <t>抽出液量：</t>
  </si>
  <si>
    <t>希釈容器の大きさに合わせて、抽出液量を変える</t>
  </si>
  <si>
    <t>乾物 kg/ton</t>
  </si>
  <si>
    <t>現物 kg/ton</t>
  </si>
  <si>
    <t>水分が多い堆肥の重量</t>
  </si>
  <si>
    <t>風乾堆肥重量</t>
  </si>
  <si>
    <t>分取した風乾堆肥の重量</t>
  </si>
  <si>
    <t>（平均）</t>
  </si>
  <si>
    <t>灰の重量</t>
  </si>
  <si>
    <t>灰化容器重量：</t>
  </si>
  <si>
    <t>（容器＋）堆肥重量（A）：</t>
  </si>
  <si>
    <t>（容器＋）灰の重量（B）：</t>
  </si>
  <si>
    <t>通常は容器ごと重量測定せず、堆肥、灰のみを測定する</t>
  </si>
  <si>
    <t>容器ごと測定した場合、容器重量を差し引く</t>
  </si>
  <si>
    <t>粗灰分</t>
  </si>
  <si>
    <t>（容器＋）ろ紙＋乾燥残渣の灰の重量：</t>
  </si>
  <si>
    <t>AD可溶有機物</t>
  </si>
  <si>
    <t>(g/kg・乾物)</t>
  </si>
  <si>
    <t>乾燥・灰化容器重量：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</si>
</sst>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 "/>
    <numFmt numFmtId="179" formatCode="0.00_);[Red]\(0.00\)"/>
    <numFmt numFmtId="180" formatCode="0_);[Red]\(0\)"/>
    <numFmt numFmtId="181" formatCode="0.00_ "/>
    <numFmt numFmtId="182" formatCode="0.0000_ "/>
    <numFmt numFmtId="183" formatCode="0.00000000000000_ "/>
    <numFmt numFmtId="184" formatCode="0.0000000000000_ "/>
    <numFmt numFmtId="185" formatCode="m/d"/>
    <numFmt numFmtId="186" formatCode="m/d;@"/>
    <numFmt numFmtId="187" formatCode="0.000_);[Red]\(0.000\)"/>
    <numFmt numFmtId="188" formatCode="0;_倀"/>
    <numFmt numFmtId="189" formatCode="0;_"/>
    <numFmt numFmtId="190" formatCode="0.0;_"/>
    <numFmt numFmtId="191" formatCode="0.0000000_ "/>
    <numFmt numFmtId="192" formatCode="0.000000_ "/>
    <numFmt numFmtId="193" formatCode="0.00000_ "/>
    <numFmt numFmtId="194" formatCode="0.000_ "/>
  </numFmts>
  <fonts count="14">
    <font>
      <sz val="11"/>
      <name val="ＭＳ Ｐゴシック"/>
      <family val="0"/>
    </font>
    <font>
      <sz val="6"/>
      <name val="ＭＳ Ｐゴシック"/>
      <family val="0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20"/>
      <color indexed="8"/>
      <name val="Calibri"/>
      <family val="2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2"/>
      <name val="ＭＳ Ｐ明朝"/>
      <family val="1"/>
    </font>
    <font>
      <sz val="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2" fillId="0" borderId="0">
      <alignment/>
      <protection/>
    </xf>
    <xf numFmtId="0" fontId="4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NumberForma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3" xfId="0" applyNumberFormat="1" applyFill="1" applyBorder="1" applyAlignment="1">
      <alignment vertical="center"/>
    </xf>
    <xf numFmtId="176" fontId="0" fillId="0" borderId="0" xfId="0" applyNumberFormat="1" applyAlignment="1">
      <alignment/>
    </xf>
    <xf numFmtId="176" fontId="0" fillId="3" borderId="0" xfId="0" applyNumberFormat="1" applyFill="1" applyAlignment="1">
      <alignment/>
    </xf>
    <xf numFmtId="176" fontId="0" fillId="0" borderId="0" xfId="0" applyNumberFormat="1" applyAlignment="1">
      <alignment vertical="center"/>
    </xf>
    <xf numFmtId="176" fontId="0" fillId="4" borderId="0" xfId="0" applyNumberFormat="1" applyFill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181" fontId="0" fillId="2" borderId="3" xfId="0" applyNumberFormat="1" applyFill="1" applyBorder="1" applyAlignment="1">
      <alignment/>
    </xf>
    <xf numFmtId="178" fontId="0" fillId="0" borderId="3" xfId="0" applyNumberFormat="1" applyBorder="1" applyAlignment="1">
      <alignment/>
    </xf>
    <xf numFmtId="181" fontId="0" fillId="0" borderId="3" xfId="0" applyNumberFormat="1" applyBorder="1" applyAlignment="1">
      <alignment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181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2" borderId="3" xfId="0" applyNumberFormat="1" applyFill="1" applyBorder="1" applyAlignment="1">
      <alignment/>
    </xf>
    <xf numFmtId="0" fontId="0" fillId="2" borderId="3" xfId="0" applyFill="1" applyBorder="1" applyAlignment="1">
      <alignment/>
    </xf>
    <xf numFmtId="181" fontId="0" fillId="2" borderId="3" xfId="0" applyNumberFormat="1" applyFill="1" applyBorder="1" applyAlignment="1">
      <alignment vertical="center"/>
    </xf>
    <xf numFmtId="178" fontId="0" fillId="2" borderId="3" xfId="0" applyNumberFormat="1" applyFill="1" applyBorder="1" applyAlignment="1">
      <alignment vertical="center"/>
    </xf>
    <xf numFmtId="56" fontId="2" fillId="0" borderId="3" xfId="0" applyNumberFormat="1" applyFont="1" applyFill="1" applyBorder="1" applyAlignment="1">
      <alignment horizontal="right" vertical="center"/>
    </xf>
    <xf numFmtId="56" fontId="2" fillId="0" borderId="4" xfId="0" applyNumberFormat="1" applyFont="1" applyFill="1" applyBorder="1" applyAlignment="1">
      <alignment horizontal="right" vertical="center"/>
    </xf>
    <xf numFmtId="56" fontId="2" fillId="0" borderId="1" xfId="0" applyNumberFormat="1" applyFont="1" applyFill="1" applyBorder="1" applyAlignment="1">
      <alignment horizontal="right" vertical="center"/>
    </xf>
    <xf numFmtId="56" fontId="2" fillId="0" borderId="5" xfId="0" applyNumberFormat="1" applyFont="1" applyFill="1" applyBorder="1" applyAlignment="1">
      <alignment horizontal="right" vertical="center"/>
    </xf>
    <xf numFmtId="185" fontId="13" fillId="0" borderId="6" xfId="0" applyNumberFormat="1" applyFont="1" applyBorder="1" applyAlignment="1" quotePrefix="1">
      <alignment horizontal="right"/>
    </xf>
    <xf numFmtId="181" fontId="2" fillId="5" borderId="7" xfId="21" applyNumberFormat="1" applyFont="1" applyFill="1" applyBorder="1">
      <alignment/>
      <protection/>
    </xf>
    <xf numFmtId="181" fontId="2" fillId="5" borderId="0" xfId="21" applyNumberFormat="1" applyFont="1" applyFill="1" applyBorder="1">
      <alignment/>
      <protection/>
    </xf>
    <xf numFmtId="181" fontId="2" fillId="5" borderId="8" xfId="21" applyNumberFormat="1" applyFont="1" applyFill="1" applyBorder="1">
      <alignment/>
      <protection/>
    </xf>
    <xf numFmtId="181" fontId="2" fillId="0" borderId="7" xfId="21" applyNumberFormat="1" applyFont="1" applyBorder="1">
      <alignment/>
      <protection/>
    </xf>
    <xf numFmtId="181" fontId="2" fillId="0" borderId="0" xfId="21" applyNumberFormat="1" applyFont="1" applyBorder="1">
      <alignment/>
      <protection/>
    </xf>
    <xf numFmtId="181" fontId="2" fillId="0" borderId="8" xfId="21" applyNumberFormat="1" applyFont="1" applyBorder="1">
      <alignment/>
      <protection/>
    </xf>
    <xf numFmtId="185" fontId="13" fillId="0" borderId="9" xfId="0" applyNumberFormat="1" applyFont="1" applyBorder="1" applyAlignment="1" quotePrefix="1">
      <alignment horizontal="right"/>
    </xf>
    <xf numFmtId="181" fontId="2" fillId="5" borderId="10" xfId="21" applyNumberFormat="1" applyFont="1" applyFill="1" applyBorder="1">
      <alignment/>
      <protection/>
    </xf>
    <xf numFmtId="181" fontId="2" fillId="5" borderId="2" xfId="21" applyNumberFormat="1" applyFont="1" applyFill="1" applyBorder="1">
      <alignment/>
      <protection/>
    </xf>
    <xf numFmtId="181" fontId="2" fillId="5" borderId="11" xfId="21" applyNumberFormat="1" applyFont="1" applyFill="1" applyBorder="1">
      <alignment/>
      <protection/>
    </xf>
    <xf numFmtId="0" fontId="0" fillId="0" borderId="3" xfId="0" applyBorder="1" applyAlignment="1">
      <alignment vertical="center"/>
    </xf>
    <xf numFmtId="178" fontId="0" fillId="0" borderId="3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6" borderId="7" xfId="0" applyFill="1" applyBorder="1" applyAlignment="1">
      <alignment vertical="center"/>
    </xf>
    <xf numFmtId="181" fontId="0" fillId="6" borderId="8" xfId="0" applyNumberFormat="1" applyFill="1" applyBorder="1" applyAlignment="1">
      <alignment vertical="center"/>
    </xf>
    <xf numFmtId="176" fontId="0" fillId="3" borderId="5" xfId="0" applyNumberFormat="1" applyFill="1" applyBorder="1" applyAlignment="1">
      <alignment vertical="center"/>
    </xf>
    <xf numFmtId="182" fontId="0" fillId="0" borderId="11" xfId="0" applyNumberForma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14" xfId="0" applyFont="1" applyBorder="1" applyAlignment="1">
      <alignment vertical="center" wrapText="1"/>
    </xf>
    <xf numFmtId="177" fontId="0" fillId="2" borderId="3" xfId="0" applyNumberFormat="1" applyFill="1" applyBorder="1" applyAlignment="1">
      <alignment vertical="center"/>
    </xf>
    <xf numFmtId="181" fontId="0" fillId="0" borderId="3" xfId="0" applyNumberFormat="1" applyFill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Fill="1" applyBorder="1" applyAlignment="1">
      <alignment vertical="center"/>
    </xf>
    <xf numFmtId="176" fontId="0" fillId="3" borderId="0" xfId="0" applyNumberFormat="1" applyFill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/>
    </xf>
    <xf numFmtId="178" fontId="0" fillId="0" borderId="0" xfId="0" applyNumberFormat="1" applyAlignment="1">
      <alignment vertical="center"/>
    </xf>
    <xf numFmtId="178" fontId="0" fillId="3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76" fontId="0" fillId="0" borderId="0" xfId="0" applyNumberFormat="1" applyFill="1" applyBorder="1" applyAlignment="1">
      <alignment vertical="center"/>
    </xf>
    <xf numFmtId="181" fontId="0" fillId="0" borderId="8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0" borderId="4" xfId="0" applyBorder="1" applyAlignment="1">
      <alignment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Alignment="1">
      <alignment/>
    </xf>
    <xf numFmtId="176" fontId="0" fillId="2" borderId="3" xfId="0" applyNumberFormat="1" applyFill="1" applyBorder="1" applyAlignment="1">
      <alignment vertical="center"/>
    </xf>
    <xf numFmtId="178" fontId="0" fillId="2" borderId="3" xfId="0" applyNumberFormat="1" applyFill="1" applyBorder="1" applyAlignment="1">
      <alignment vertical="center"/>
    </xf>
    <xf numFmtId="181" fontId="0" fillId="2" borderId="3" xfId="0" applyNumberFormat="1" applyFill="1" applyBorder="1" applyAlignment="1">
      <alignment vertical="center"/>
    </xf>
    <xf numFmtId="178" fontId="0" fillId="0" borderId="0" xfId="0" applyNumberFormat="1" applyAlignment="1">
      <alignment vertical="center"/>
    </xf>
    <xf numFmtId="177" fontId="0" fillId="3" borderId="0" xfId="0" applyNumberFormat="1" applyFill="1" applyAlignment="1">
      <alignment/>
    </xf>
    <xf numFmtId="177" fontId="0" fillId="0" borderId="0" xfId="0" applyNumberFormat="1" applyAlignment="1">
      <alignment/>
    </xf>
    <xf numFmtId="181" fontId="0" fillId="2" borderId="3" xfId="0" applyNumberFormat="1" applyFill="1" applyBorder="1" applyAlignment="1">
      <alignment vertical="center"/>
    </xf>
    <xf numFmtId="178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181" fontId="0" fillId="0" borderId="3" xfId="0" applyNumberFormat="1" applyFill="1" applyBorder="1" applyAlignment="1">
      <alignment vertical="center"/>
    </xf>
    <xf numFmtId="176" fontId="0" fillId="0" borderId="8" xfId="0" applyNumberFormat="1" applyFill="1" applyBorder="1" applyAlignment="1">
      <alignment horizontal="center" vertical="center"/>
    </xf>
    <xf numFmtId="178" fontId="0" fillId="2" borderId="3" xfId="0" applyNumberFormat="1" applyFill="1" applyBorder="1" applyAlignment="1">
      <alignment vertical="center"/>
    </xf>
    <xf numFmtId="181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181" fontId="0" fillId="0" borderId="3" xfId="0" applyNumberForma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3" borderId="0" xfId="0" applyNumberFormat="1" applyFont="1" applyFill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vertical="center"/>
    </xf>
    <xf numFmtId="178" fontId="0" fillId="2" borderId="3" xfId="0" applyNumberFormat="1" applyFill="1" applyBorder="1" applyAlignment="1">
      <alignment vertical="center"/>
    </xf>
    <xf numFmtId="178" fontId="0" fillId="0" borderId="3" xfId="0" applyNumberFormat="1" applyFill="1" applyBorder="1" applyAlignment="1">
      <alignment vertical="center"/>
    </xf>
    <xf numFmtId="181" fontId="0" fillId="2" borderId="3" xfId="0" applyNumberFormat="1" applyFill="1" applyBorder="1" applyAlignment="1">
      <alignment vertical="center"/>
    </xf>
    <xf numFmtId="181" fontId="0" fillId="0" borderId="3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 vertical="center"/>
    </xf>
    <xf numFmtId="178" fontId="0" fillId="0" borderId="3" xfId="0" applyNumberForma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3" fillId="0" borderId="0" xfId="0" applyFont="1" applyFill="1" applyAlignment="1">
      <alignment wrapText="1"/>
    </xf>
    <xf numFmtId="0" fontId="5" fillId="0" borderId="0" xfId="0" applyFont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 wrapText="1"/>
    </xf>
    <xf numFmtId="0" fontId="2" fillId="0" borderId="3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標準_赤色土正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133350</xdr:rowOff>
    </xdr:from>
    <xdr:to>
      <xdr:col>6</xdr:col>
      <xdr:colOff>514350</xdr:colOff>
      <xdr:row>23</xdr:row>
      <xdr:rowOff>0</xdr:rowOff>
    </xdr:to>
    <xdr:sp>
      <xdr:nvSpPr>
        <xdr:cNvPr id="1" name="角丸四角形吹き出し 1"/>
        <xdr:cNvSpPr>
          <a:spLocks/>
        </xdr:cNvSpPr>
      </xdr:nvSpPr>
      <xdr:spPr>
        <a:xfrm>
          <a:off x="66675" y="4857750"/>
          <a:ext cx="5200650" cy="1409700"/>
        </a:xfrm>
        <a:prstGeom prst="wedgeRoundRectCallout">
          <a:avLst>
            <a:gd name="adj1" fmla="val 16115"/>
            <a:gd name="adj2" fmla="val -142569"/>
          </a:avLst>
        </a:prstGeom>
        <a:solidFill>
          <a:srgbClr val="FF6FC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PAK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テストでは、乾物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1.5g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相当から抽出した抽出液を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750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倍に希釈する。抽出時に正確に乾物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1.5g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相当を秤量していない場合、試料の重量と乾物率から、同じ倍率に希釈するための希釈倍率を計算する。</a:t>
          </a:r>
        </a:p>
      </xdr:txBody>
    </xdr:sp>
    <xdr:clientData/>
  </xdr:twoCellAnchor>
  <xdr:twoCellAnchor>
    <xdr:from>
      <xdr:col>5</xdr:col>
      <xdr:colOff>609600</xdr:colOff>
      <xdr:row>7</xdr:row>
      <xdr:rowOff>47625</xdr:rowOff>
    </xdr:from>
    <xdr:to>
      <xdr:col>10</xdr:col>
      <xdr:colOff>85725</xdr:colOff>
      <xdr:row>14</xdr:row>
      <xdr:rowOff>9525</xdr:rowOff>
    </xdr:to>
    <xdr:sp>
      <xdr:nvSpPr>
        <xdr:cNvPr id="2" name="角丸四角形 2"/>
        <xdr:cNvSpPr>
          <a:spLocks/>
        </xdr:cNvSpPr>
      </xdr:nvSpPr>
      <xdr:spPr>
        <a:xfrm>
          <a:off x="4248150" y="3571875"/>
          <a:ext cx="3781425" cy="1162050"/>
        </a:xfrm>
        <a:prstGeom prst="roundRect">
          <a:avLst/>
        </a:prstGeom>
        <a:solidFill>
          <a:srgbClr val="CCFFCC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測定に使う容器のサイズを考え、希釈に使う抽出液の量を適宜変える（連動して水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抽出液の量も変わる）</a:t>
          </a:r>
        </a:p>
      </xdr:txBody>
    </xdr:sp>
    <xdr:clientData/>
  </xdr:twoCellAnchor>
  <xdr:twoCellAnchor>
    <xdr:from>
      <xdr:col>0</xdr:col>
      <xdr:colOff>47625</xdr:colOff>
      <xdr:row>9</xdr:row>
      <xdr:rowOff>28575</xdr:rowOff>
    </xdr:from>
    <xdr:to>
      <xdr:col>4</xdr:col>
      <xdr:colOff>142875</xdr:colOff>
      <xdr:row>14</xdr:row>
      <xdr:rowOff>28575</xdr:rowOff>
    </xdr:to>
    <xdr:sp>
      <xdr:nvSpPr>
        <xdr:cNvPr id="3" name="角丸四角形吹き出し 4"/>
        <xdr:cNvSpPr>
          <a:spLocks/>
        </xdr:cNvSpPr>
      </xdr:nvSpPr>
      <xdr:spPr>
        <a:xfrm>
          <a:off x="47625" y="3895725"/>
          <a:ext cx="2743200" cy="857250"/>
        </a:xfrm>
        <a:prstGeom prst="wedgeRoundRectCallout">
          <a:avLst>
            <a:gd name="adj1" fmla="val 35356"/>
            <a:gd name="adj2" fmla="val -94546"/>
          </a:avLst>
        </a:prstGeom>
        <a:solidFill>
          <a:srgbClr val="FF6FC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乾物率は抽出に使った試料の数値を使う</a:t>
          </a:r>
        </a:p>
      </xdr:txBody>
    </xdr:sp>
    <xdr:clientData/>
  </xdr:twoCellAnchor>
  <xdr:twoCellAnchor>
    <xdr:from>
      <xdr:col>0</xdr:col>
      <xdr:colOff>180975</xdr:colOff>
      <xdr:row>0</xdr:row>
      <xdr:rowOff>190500</xdr:rowOff>
    </xdr:from>
    <xdr:to>
      <xdr:col>5</xdr:col>
      <xdr:colOff>1009650</xdr:colOff>
      <xdr:row>0</xdr:row>
      <xdr:rowOff>1143000</xdr:rowOff>
    </xdr:to>
    <xdr:sp>
      <xdr:nvSpPr>
        <xdr:cNvPr id="4" name="角丸四角形 5"/>
        <xdr:cNvSpPr>
          <a:spLocks/>
        </xdr:cNvSpPr>
      </xdr:nvSpPr>
      <xdr:spPr>
        <a:xfrm>
          <a:off x="180975" y="190500"/>
          <a:ext cx="4467225" cy="952500"/>
        </a:xfrm>
        <a:prstGeom prst="roundRect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PAK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テストにより</a:t>
          </a:r>
          <a:r>
            <a:rPr lang="en-US" cap="none" sz="2000" b="0" i="0" u="none" baseline="0">
              <a:solidFill>
                <a:srgbClr val="000000"/>
              </a:solidFill>
            </a:rPr>
            <a:t>AD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可溶窒素の測定が必要かどうか判断する場合</a:t>
          </a:r>
        </a:p>
      </xdr:txBody>
    </xdr:sp>
    <xdr:clientData/>
  </xdr:twoCellAnchor>
  <xdr:twoCellAnchor>
    <xdr:from>
      <xdr:col>7</xdr:col>
      <xdr:colOff>0</xdr:colOff>
      <xdr:row>0</xdr:row>
      <xdr:rowOff>1038225</xdr:rowOff>
    </xdr:from>
    <xdr:to>
      <xdr:col>8</xdr:col>
      <xdr:colOff>847725</xdr:colOff>
      <xdr:row>0</xdr:row>
      <xdr:rowOff>1228725</xdr:rowOff>
    </xdr:to>
    <xdr:sp>
      <xdr:nvSpPr>
        <xdr:cNvPr id="5" name="AutoShape 12"/>
        <xdr:cNvSpPr>
          <a:spLocks/>
        </xdr:cNvSpPr>
      </xdr:nvSpPr>
      <xdr:spPr>
        <a:xfrm rot="16200000">
          <a:off x="5581650" y="1038225"/>
          <a:ext cx="1790700" cy="190500"/>
        </a:xfrm>
        <a:prstGeom prst="rightBrace">
          <a:avLst/>
        </a:prstGeom>
        <a:noFill/>
        <a:ln w="31750" cmpd="sng">
          <a:solidFill>
            <a:srgbClr val="F2088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0</xdr:row>
      <xdr:rowOff>333375</xdr:rowOff>
    </xdr:from>
    <xdr:to>
      <xdr:col>10</xdr:col>
      <xdr:colOff>38100</xdr:colOff>
      <xdr:row>0</xdr:row>
      <xdr:rowOff>1019175</xdr:rowOff>
    </xdr:to>
    <xdr:sp>
      <xdr:nvSpPr>
        <xdr:cNvPr id="6" name="角丸四角形 2"/>
        <xdr:cNvSpPr>
          <a:spLocks/>
        </xdr:cNvSpPr>
      </xdr:nvSpPr>
      <xdr:spPr>
        <a:xfrm>
          <a:off x="5200650" y="333375"/>
          <a:ext cx="2781300" cy="685800"/>
        </a:xfrm>
        <a:prstGeom prst="roundRect">
          <a:avLst/>
        </a:prstGeom>
        <a:solidFill>
          <a:srgbClr val="FF99CC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この数値を印刷用・計算用シートに書き込む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11</xdr:col>
      <xdr:colOff>333375</xdr:colOff>
      <xdr:row>0</xdr:row>
      <xdr:rowOff>1400175</xdr:rowOff>
    </xdr:to>
    <xdr:sp>
      <xdr:nvSpPr>
        <xdr:cNvPr id="1" name="角丸四角形 2"/>
        <xdr:cNvSpPr>
          <a:spLocks/>
        </xdr:cNvSpPr>
      </xdr:nvSpPr>
      <xdr:spPr>
        <a:xfrm>
          <a:off x="104775" y="28575"/>
          <a:ext cx="8191500" cy="1371600"/>
        </a:xfrm>
        <a:prstGeom prst="roundRect">
          <a:avLst/>
        </a:prstGeom>
        <a:solidFill>
          <a:srgbClr val="FF6666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AD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可溶有機物の多い豚ぷん堆肥で速効性、緩効性の窒素量を推定する場合、地温から算出された下表の係数を使い、計算する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下の表から速効性（通常</a:t>
          </a:r>
          <a:r>
            <a:rPr lang="en-US" cap="none" sz="2000" b="0" i="0" u="none" baseline="0">
              <a:solidFill>
                <a:srgbClr val="000000"/>
              </a:solidFill>
            </a:rPr>
            <a:t>30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日）、緩効性（通常</a:t>
          </a:r>
          <a:r>
            <a:rPr lang="en-US" cap="none" sz="2000" b="0" i="0" u="none" baseline="0">
              <a:solidFill>
                <a:srgbClr val="000000"/>
              </a:solidFill>
            </a:rPr>
            <a:t>90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日）の係数を選ぶ</a:t>
          </a:r>
        </a:p>
      </xdr:txBody>
    </xdr:sp>
    <xdr:clientData/>
  </xdr:twoCellAnchor>
  <xdr:twoCellAnchor>
    <xdr:from>
      <xdr:col>4</xdr:col>
      <xdr:colOff>619125</xdr:colOff>
      <xdr:row>16</xdr:row>
      <xdr:rowOff>38100</xdr:rowOff>
    </xdr:from>
    <xdr:to>
      <xdr:col>14</xdr:col>
      <xdr:colOff>9525</xdr:colOff>
      <xdr:row>23</xdr:row>
      <xdr:rowOff>152400</xdr:rowOff>
    </xdr:to>
    <xdr:sp>
      <xdr:nvSpPr>
        <xdr:cNvPr id="2" name="角丸四角形 3"/>
        <xdr:cNvSpPr>
          <a:spLocks/>
        </xdr:cNvSpPr>
      </xdr:nvSpPr>
      <xdr:spPr>
        <a:xfrm>
          <a:off x="3514725" y="4752975"/>
          <a:ext cx="6629400" cy="1314450"/>
        </a:xfrm>
        <a:prstGeom prst="roundRect">
          <a:avLst/>
        </a:prstGeom>
        <a:solidFill>
          <a:srgbClr val="CCFFCC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表にない日数の係数が必要な場合、適宜計算する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2000" b="0" i="0" u="none" baseline="0">
              <a:solidFill>
                <a:srgbClr val="000000"/>
              </a:solidFill>
            </a:rPr>
            <a:t>: 75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日の係数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= 60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日の係数と</a:t>
          </a:r>
          <a:r>
            <a:rPr lang="en-US" cap="none" sz="2000" b="0" i="0" u="none" baseline="0">
              <a:solidFill>
                <a:srgbClr val="000000"/>
              </a:solidFill>
            </a:rPr>
            <a:t>90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日の係数の平均</a:t>
          </a:r>
        </a:p>
      </xdr:txBody>
    </xdr:sp>
    <xdr:clientData/>
  </xdr:twoCellAnchor>
  <xdr:twoCellAnchor>
    <xdr:from>
      <xdr:col>0</xdr:col>
      <xdr:colOff>161925</xdr:colOff>
      <xdr:row>18</xdr:row>
      <xdr:rowOff>76200</xdr:rowOff>
    </xdr:from>
    <xdr:to>
      <xdr:col>4</xdr:col>
      <xdr:colOff>457200</xdr:colOff>
      <xdr:row>23</xdr:row>
      <xdr:rowOff>47625</xdr:rowOff>
    </xdr:to>
    <xdr:sp>
      <xdr:nvSpPr>
        <xdr:cNvPr id="3" name="角丸四角形吹き出し 4"/>
        <xdr:cNvSpPr>
          <a:spLocks/>
        </xdr:cNvSpPr>
      </xdr:nvSpPr>
      <xdr:spPr>
        <a:xfrm>
          <a:off x="161925" y="5133975"/>
          <a:ext cx="3190875" cy="828675"/>
        </a:xfrm>
        <a:prstGeom prst="wedgeRoundRectCallout">
          <a:avLst>
            <a:gd name="adj1" fmla="val -37731"/>
            <a:gd name="adj2" fmla="val -119810"/>
          </a:avLst>
        </a:prstGeom>
        <a:solidFill>
          <a:srgbClr val="FF6FC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施用日は一番近いものを選択する</a:t>
          </a:r>
        </a:p>
      </xdr:txBody>
    </xdr:sp>
    <xdr:clientData/>
  </xdr:twoCellAnchor>
  <xdr:twoCellAnchor>
    <xdr:from>
      <xdr:col>14</xdr:col>
      <xdr:colOff>304800</xdr:colOff>
      <xdr:row>16</xdr:row>
      <xdr:rowOff>38100</xdr:rowOff>
    </xdr:from>
    <xdr:to>
      <xdr:col>22</xdr:col>
      <xdr:colOff>533400</xdr:colOff>
      <xdr:row>23</xdr:row>
      <xdr:rowOff>0</xdr:rowOff>
    </xdr:to>
    <xdr:sp>
      <xdr:nvSpPr>
        <xdr:cNvPr id="4" name="角丸四角形 5"/>
        <xdr:cNvSpPr>
          <a:spLocks/>
        </xdr:cNvSpPr>
      </xdr:nvSpPr>
      <xdr:spPr>
        <a:xfrm>
          <a:off x="10439400" y="4752975"/>
          <a:ext cx="6610350" cy="1162050"/>
        </a:xfrm>
        <a:prstGeom prst="roundRect">
          <a:avLst/>
        </a:prstGeom>
        <a:solidFill>
          <a:srgbClr val="FF00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</a:rPr>
            <a:t>90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日後の係数が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0.5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未満のところは灰色にしてある。そのような時期は、窒素の発現が遅いので、</a:t>
          </a:r>
          <a:r>
            <a:rPr lang="en-US" cap="none" sz="2000" b="0" i="0" u="none" baseline="0">
              <a:solidFill>
                <a:srgbClr val="000000"/>
              </a:solidFill>
            </a:rPr>
            <a:t>AD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可溶有機物が多い堆肥は施用しない方が無難</a:t>
          </a:r>
        </a:p>
      </xdr:txBody>
    </xdr:sp>
    <xdr:clientData/>
  </xdr:twoCellAnchor>
  <xdr:twoCellAnchor>
    <xdr:from>
      <xdr:col>14</xdr:col>
      <xdr:colOff>609600</xdr:colOff>
      <xdr:row>0</xdr:row>
      <xdr:rowOff>104775</xdr:rowOff>
    </xdr:from>
    <xdr:to>
      <xdr:col>19</xdr:col>
      <xdr:colOff>38100</xdr:colOff>
      <xdr:row>0</xdr:row>
      <xdr:rowOff>1152525</xdr:rowOff>
    </xdr:to>
    <xdr:sp>
      <xdr:nvSpPr>
        <xdr:cNvPr id="5" name="角丸四角形吹き出し 6"/>
        <xdr:cNvSpPr>
          <a:spLocks/>
        </xdr:cNvSpPr>
      </xdr:nvSpPr>
      <xdr:spPr>
        <a:xfrm>
          <a:off x="10744200" y="104775"/>
          <a:ext cx="3048000" cy="1057275"/>
        </a:xfrm>
        <a:prstGeom prst="wedgeRoundRectCallout">
          <a:avLst>
            <a:gd name="adj1" fmla="val -48402"/>
            <a:gd name="adj2" fmla="val 94129"/>
          </a:avLst>
        </a:prstGeom>
        <a:solidFill>
          <a:srgbClr val="FF6FC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地域は一番近いところを選択する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A1" sqref="A1:H1"/>
    </sheetView>
  </sheetViews>
  <sheetFormatPr defaultColWidth="8.875" defaultRowHeight="13.5"/>
  <cols>
    <col min="1" max="1" width="22.125" style="0" customWidth="1"/>
    <col min="2" max="2" width="6.375" style="0" customWidth="1"/>
    <col min="3" max="3" width="16.625" style="0" customWidth="1"/>
    <col min="4" max="4" width="10.625" style="0" customWidth="1"/>
    <col min="5" max="5" width="4.625" style="0" customWidth="1"/>
    <col min="6" max="8" width="10.625" style="0" customWidth="1"/>
    <col min="9" max="9" width="10.125" style="0" customWidth="1"/>
  </cols>
  <sheetData>
    <row r="1" spans="1:8" ht="31.5" customHeight="1">
      <c r="A1" s="158" t="s">
        <v>185</v>
      </c>
      <c r="B1" s="158"/>
      <c r="C1" s="158"/>
      <c r="D1" s="158"/>
      <c r="E1" s="158"/>
      <c r="F1" s="158"/>
      <c r="G1" s="158"/>
      <c r="H1" s="158"/>
    </row>
    <row r="2" spans="1:8" ht="15" customHeight="1">
      <c r="A2" s="1"/>
      <c r="B2" s="1"/>
      <c r="C2" s="1"/>
      <c r="D2" s="1"/>
      <c r="F2" s="159" t="s">
        <v>208</v>
      </c>
      <c r="G2" s="159"/>
      <c r="H2" s="159"/>
    </row>
    <row r="3" spans="1:8" ht="24" customHeight="1">
      <c r="A3" s="8" t="s">
        <v>186</v>
      </c>
      <c r="B3" s="146"/>
      <c r="C3" s="146"/>
      <c r="E3" s="1" t="s">
        <v>187</v>
      </c>
      <c r="F3" s="2" t="s">
        <v>188</v>
      </c>
      <c r="G3" s="2" t="s">
        <v>206</v>
      </c>
      <c r="H3" s="2" t="s">
        <v>207</v>
      </c>
    </row>
    <row r="4" spans="1:8" ht="24" customHeight="1">
      <c r="A4" s="7" t="s">
        <v>189</v>
      </c>
      <c r="B4" s="147"/>
      <c r="C4" s="147"/>
      <c r="E4" s="160" t="s">
        <v>110</v>
      </c>
      <c r="F4" s="160"/>
      <c r="G4" s="160"/>
      <c r="H4" s="10" t="s">
        <v>205</v>
      </c>
    </row>
    <row r="5" spans="1:8" ht="22.5" customHeight="1">
      <c r="A5" s="1"/>
      <c r="B5" s="1"/>
      <c r="C5" s="1"/>
      <c r="D5" s="1"/>
      <c r="F5" s="1"/>
      <c r="G5" s="153" t="s">
        <v>121</v>
      </c>
      <c r="H5" s="153"/>
    </row>
    <row r="6" spans="1:8" ht="19.5" customHeight="1">
      <c r="A6" s="3" t="s">
        <v>190</v>
      </c>
      <c r="B6" s="148" t="s">
        <v>191</v>
      </c>
      <c r="C6" s="149"/>
      <c r="D6" s="11"/>
      <c r="E6" s="1" t="s">
        <v>209</v>
      </c>
      <c r="G6" s="11"/>
      <c r="H6" s="1" t="s">
        <v>209</v>
      </c>
    </row>
    <row r="7" spans="1:8" ht="19.5" customHeight="1">
      <c r="A7" s="1"/>
      <c r="B7" s="148" t="s">
        <v>192</v>
      </c>
      <c r="C7" s="149"/>
      <c r="D7" s="11"/>
      <c r="E7" s="1" t="s">
        <v>210</v>
      </c>
      <c r="G7" s="11"/>
      <c r="H7" s="1" t="s">
        <v>210</v>
      </c>
    </row>
    <row r="8" spans="1:8" ht="19.5" customHeight="1">
      <c r="A8" s="1"/>
      <c r="B8" s="148" t="s">
        <v>193</v>
      </c>
      <c r="C8" s="149"/>
      <c r="D8" s="11"/>
      <c r="E8" s="1" t="s">
        <v>211</v>
      </c>
      <c r="G8" s="11"/>
      <c r="H8" s="1" t="s">
        <v>211</v>
      </c>
    </row>
    <row r="9" spans="1:8" ht="19.5" customHeight="1">
      <c r="A9" s="1"/>
      <c r="B9" s="1"/>
      <c r="C9" s="1"/>
      <c r="D9" s="1"/>
      <c r="E9" s="1"/>
      <c r="G9" s="1"/>
      <c r="H9" s="1"/>
    </row>
    <row r="10" spans="1:8" ht="19.5" customHeight="1">
      <c r="A10" s="3" t="s">
        <v>66</v>
      </c>
      <c r="B10" s="148" t="s">
        <v>67</v>
      </c>
      <c r="C10" s="149"/>
      <c r="D10" s="11"/>
      <c r="E10" s="1" t="s">
        <v>211</v>
      </c>
      <c r="F10" s="4" t="s">
        <v>224</v>
      </c>
      <c r="G10" s="58"/>
      <c r="H10" s="1" t="s">
        <v>223</v>
      </c>
    </row>
    <row r="11" spans="1:8" ht="25.5" customHeight="1">
      <c r="A11" s="1"/>
      <c r="B11" s="1"/>
      <c r="C11" s="1"/>
      <c r="D11" s="1"/>
      <c r="E11" s="1"/>
      <c r="G11" s="111"/>
      <c r="H11" s="111" t="s">
        <v>121</v>
      </c>
    </row>
    <row r="12" spans="1:8" ht="19.5" customHeight="1">
      <c r="A12" s="3" t="s">
        <v>68</v>
      </c>
      <c r="B12" s="148" t="s">
        <v>69</v>
      </c>
      <c r="C12" s="149"/>
      <c r="D12" s="11"/>
      <c r="E12" s="1" t="s">
        <v>70</v>
      </c>
      <c r="F12" s="4" t="s">
        <v>71</v>
      </c>
      <c r="G12" s="12"/>
      <c r="H12" s="12"/>
    </row>
    <row r="13" spans="3:8" ht="19.5" customHeight="1">
      <c r="C13" s="5" t="s">
        <v>117</v>
      </c>
      <c r="D13" s="1">
        <v>0</v>
      </c>
      <c r="E13" s="6" t="s">
        <v>94</v>
      </c>
      <c r="F13" s="71" t="s">
        <v>71</v>
      </c>
      <c r="G13" s="12"/>
      <c r="H13" s="12"/>
    </row>
    <row r="14" spans="1:8" ht="19.5" customHeight="1">
      <c r="A14" s="1"/>
      <c r="C14" s="5" t="s">
        <v>125</v>
      </c>
      <c r="D14" s="12"/>
      <c r="E14" s="6" t="s">
        <v>95</v>
      </c>
      <c r="F14" s="71" t="s">
        <v>71</v>
      </c>
      <c r="G14" s="12"/>
      <c r="H14" s="12"/>
    </row>
    <row r="15" spans="1:8" ht="19.5" customHeight="1">
      <c r="A15" s="1"/>
      <c r="B15" s="1"/>
      <c r="C15" s="1"/>
      <c r="D15" s="1"/>
      <c r="E15" s="1"/>
      <c r="F15" s="1"/>
      <c r="G15" s="1"/>
      <c r="H15" s="1"/>
    </row>
    <row r="16" spans="1:8" ht="19.5" customHeight="1">
      <c r="A16" s="3" t="s">
        <v>72</v>
      </c>
      <c r="B16" s="148" t="s">
        <v>69</v>
      </c>
      <c r="C16" s="149"/>
      <c r="D16" s="11"/>
      <c r="E16" s="1" t="s">
        <v>70</v>
      </c>
      <c r="F16" s="4" t="s">
        <v>71</v>
      </c>
      <c r="G16" s="12"/>
      <c r="H16" s="12"/>
    </row>
    <row r="17" spans="3:8" ht="19.5" customHeight="1">
      <c r="C17" s="5" t="s">
        <v>126</v>
      </c>
      <c r="D17" s="12"/>
      <c r="E17" s="6" t="s">
        <v>95</v>
      </c>
      <c r="F17" s="71" t="s">
        <v>71</v>
      </c>
      <c r="G17" s="12"/>
      <c r="H17" s="12"/>
    </row>
    <row r="18" spans="1:8" ht="19.5" customHeight="1">
      <c r="A18" s="1"/>
      <c r="B18" s="1"/>
      <c r="C18" s="1"/>
      <c r="D18" s="1"/>
      <c r="E18" s="1"/>
      <c r="F18" s="1"/>
      <c r="G18" s="1"/>
      <c r="H18" s="1"/>
    </row>
    <row r="19" spans="1:8" ht="19.5" customHeight="1">
      <c r="A19" s="3" t="s">
        <v>73</v>
      </c>
      <c r="B19" s="148" t="s">
        <v>69</v>
      </c>
      <c r="C19" s="149"/>
      <c r="D19" s="11"/>
      <c r="E19" s="1" t="s">
        <v>70</v>
      </c>
      <c r="F19" s="4" t="s">
        <v>71</v>
      </c>
      <c r="G19" s="12"/>
      <c r="H19" s="12"/>
    </row>
    <row r="20" spans="1:8" ht="19.5" customHeight="1">
      <c r="A20" s="1"/>
      <c r="B20" s="1"/>
      <c r="C20" s="1"/>
      <c r="D20" s="1"/>
      <c r="E20" s="1"/>
      <c r="F20" s="1"/>
      <c r="G20" s="1"/>
      <c r="H20" s="1"/>
    </row>
    <row r="21" spans="1:8" ht="19.5" customHeight="1">
      <c r="A21" s="3" t="s">
        <v>74</v>
      </c>
      <c r="B21" s="148" t="s">
        <v>69</v>
      </c>
      <c r="C21" s="149"/>
      <c r="D21" s="11"/>
      <c r="E21" s="1" t="s">
        <v>70</v>
      </c>
      <c r="F21" s="4" t="s">
        <v>71</v>
      </c>
      <c r="G21" s="12"/>
      <c r="H21" s="12"/>
    </row>
    <row r="22" spans="1:8" ht="19.5" customHeight="1">
      <c r="A22" s="1"/>
      <c r="B22" s="1"/>
      <c r="C22" s="1"/>
      <c r="D22" s="1"/>
      <c r="E22" s="1"/>
      <c r="F22" s="1"/>
      <c r="G22" s="1"/>
      <c r="H22" s="1"/>
    </row>
    <row r="23" spans="1:8" ht="19.5" customHeight="1">
      <c r="A23" s="3" t="s">
        <v>76</v>
      </c>
      <c r="B23" s="148" t="s">
        <v>69</v>
      </c>
      <c r="C23" s="149"/>
      <c r="D23" s="11"/>
      <c r="E23" s="1" t="s">
        <v>70</v>
      </c>
      <c r="F23" s="4" t="s">
        <v>71</v>
      </c>
      <c r="G23" s="12"/>
      <c r="H23" s="12"/>
    </row>
    <row r="24" spans="1:8" ht="19.5" customHeight="1">
      <c r="A24" s="1"/>
      <c r="B24" s="1"/>
      <c r="C24" s="1"/>
      <c r="D24" s="1"/>
      <c r="E24" s="1"/>
      <c r="F24" s="1"/>
      <c r="G24" s="1"/>
      <c r="H24" s="1"/>
    </row>
    <row r="25" spans="1:8" ht="19.5" customHeight="1">
      <c r="A25" s="3" t="s">
        <v>75</v>
      </c>
      <c r="B25" s="148" t="s">
        <v>69</v>
      </c>
      <c r="C25" s="149"/>
      <c r="D25" s="11"/>
      <c r="E25" s="1" t="s">
        <v>70</v>
      </c>
      <c r="F25" s="4" t="s">
        <v>71</v>
      </c>
      <c r="G25" s="12"/>
      <c r="H25" s="12"/>
    </row>
    <row r="26" spans="1:8" ht="19.5" customHeight="1">
      <c r="A26" s="1"/>
      <c r="B26" s="1"/>
      <c r="C26" s="1"/>
      <c r="D26" s="1"/>
      <c r="E26" s="1"/>
      <c r="F26" s="1"/>
      <c r="G26" s="1"/>
      <c r="H26" s="1"/>
    </row>
    <row r="27" spans="1:8" ht="19.5" customHeight="1">
      <c r="A27" s="3" t="s">
        <v>77</v>
      </c>
      <c r="B27" s="148" t="s">
        <v>67</v>
      </c>
      <c r="C27" s="149"/>
      <c r="D27" s="11"/>
      <c r="E27" s="1" t="s">
        <v>211</v>
      </c>
      <c r="F27" s="4"/>
      <c r="G27" s="14"/>
      <c r="H27" s="1"/>
    </row>
    <row r="28" spans="1:8" ht="19.5" customHeight="1">
      <c r="A28" s="1"/>
      <c r="B28" s="1"/>
      <c r="C28" s="1"/>
      <c r="D28" s="1"/>
      <c r="E28" s="1"/>
      <c r="F28" s="1"/>
      <c r="G28" s="1"/>
      <c r="H28" s="1"/>
    </row>
    <row r="29" spans="1:8" ht="19.5" customHeight="1">
      <c r="A29" s="3" t="s">
        <v>78</v>
      </c>
      <c r="B29" s="148" t="s">
        <v>79</v>
      </c>
      <c r="C29" s="149"/>
      <c r="D29" s="12"/>
      <c r="E29" s="1" t="s">
        <v>194</v>
      </c>
      <c r="F29" s="4" t="s">
        <v>81</v>
      </c>
      <c r="G29" s="12"/>
      <c r="H29" s="12"/>
    </row>
    <row r="30" spans="1:8" ht="19.5" customHeight="1">
      <c r="A30" s="1"/>
      <c r="B30" s="148" t="s">
        <v>217</v>
      </c>
      <c r="C30" s="149"/>
      <c r="D30" s="11"/>
      <c r="E30" t="s">
        <v>80</v>
      </c>
      <c r="G30" s="1"/>
      <c r="H30" s="1"/>
    </row>
    <row r="31" spans="1:8" ht="19.5" customHeight="1">
      <c r="A31" s="1"/>
      <c r="B31" s="1"/>
      <c r="C31" s="1"/>
      <c r="D31" s="1"/>
      <c r="F31" s="1"/>
      <c r="G31" s="1"/>
      <c r="H31" s="1"/>
    </row>
    <row r="32" spans="1:8" ht="19.5" customHeight="1">
      <c r="A32" s="3" t="s">
        <v>82</v>
      </c>
      <c r="B32" s="156" t="s">
        <v>219</v>
      </c>
      <c r="C32" s="157"/>
      <c r="F32" s="4" t="s">
        <v>71</v>
      </c>
      <c r="G32" s="12"/>
      <c r="H32" s="12"/>
    </row>
    <row r="33" spans="1:8" ht="19.5" customHeight="1">
      <c r="A33" s="154"/>
      <c r="B33" s="155"/>
      <c r="C33" s="5" t="s">
        <v>107</v>
      </c>
      <c r="D33" s="4" t="s">
        <v>119</v>
      </c>
      <c r="F33" s="71" t="s">
        <v>71</v>
      </c>
      <c r="G33" s="12"/>
      <c r="H33" s="12"/>
    </row>
    <row r="34" spans="1:8" ht="19.5" customHeight="1">
      <c r="A34" s="154"/>
      <c r="B34" s="155"/>
      <c r="C34" s="5"/>
      <c r="F34" s="71"/>
      <c r="G34" s="12"/>
      <c r="H34" s="12"/>
    </row>
    <row r="35" spans="3:8" ht="19.5" customHeight="1">
      <c r="C35" s="5" t="s">
        <v>212</v>
      </c>
      <c r="D35" s="12"/>
      <c r="E35" s="6" t="s">
        <v>95</v>
      </c>
      <c r="F35" s="71" t="s">
        <v>71</v>
      </c>
      <c r="G35" s="12"/>
      <c r="H35" s="12"/>
    </row>
    <row r="36" spans="1:8" ht="19.5" customHeight="1">
      <c r="A36" s="1"/>
      <c r="C36" s="9"/>
      <c r="D36" s="12"/>
      <c r="E36" s="6" t="s">
        <v>95</v>
      </c>
      <c r="F36" s="71" t="s">
        <v>71</v>
      </c>
      <c r="G36" s="12"/>
      <c r="H36" s="12"/>
    </row>
    <row r="37" spans="1:8" ht="19.5" customHeight="1">
      <c r="A37" s="1"/>
      <c r="C37" s="9"/>
      <c r="D37" s="12"/>
      <c r="E37" s="6" t="s">
        <v>95</v>
      </c>
      <c r="F37" s="71" t="s">
        <v>71</v>
      </c>
      <c r="G37" s="12"/>
      <c r="H37" s="12"/>
    </row>
    <row r="38" spans="1:8" ht="19.5" customHeight="1">
      <c r="A38" s="1"/>
      <c r="C38" s="9"/>
      <c r="D38" s="12"/>
      <c r="E38" s="6" t="s">
        <v>95</v>
      </c>
      <c r="F38" s="71" t="s">
        <v>71</v>
      </c>
      <c r="G38" s="12"/>
      <c r="H38" s="12"/>
    </row>
    <row r="39" spans="1:8" s="82" customFormat="1" ht="19.5" customHeight="1">
      <c r="A39" s="151" t="s">
        <v>120</v>
      </c>
      <c r="B39" s="152"/>
      <c r="C39" s="152"/>
      <c r="D39" s="115"/>
      <c r="E39" s="115"/>
      <c r="F39" s="115"/>
      <c r="G39" s="115"/>
      <c r="H39" s="115"/>
    </row>
    <row r="40" spans="1:8" ht="19.5" customHeight="1">
      <c r="A40" s="1"/>
      <c r="B40" s="1"/>
      <c r="C40" s="1"/>
      <c r="D40" s="1"/>
      <c r="F40" s="1"/>
      <c r="G40" s="6" t="s">
        <v>122</v>
      </c>
      <c r="H40" s="1"/>
    </row>
    <row r="41" spans="1:8" ht="19.5" customHeight="1">
      <c r="A41" s="3" t="s">
        <v>190</v>
      </c>
      <c r="B41" s="148" t="s">
        <v>213</v>
      </c>
      <c r="C41" s="149"/>
      <c r="D41" s="11"/>
      <c r="E41" s="1" t="s">
        <v>194</v>
      </c>
      <c r="G41" s="11"/>
      <c r="H41" s="1" t="s">
        <v>96</v>
      </c>
    </row>
    <row r="42" spans="1:8" ht="19.5" customHeight="1">
      <c r="A42" s="148" t="s">
        <v>93</v>
      </c>
      <c r="B42" s="148"/>
      <c r="C42" s="150"/>
      <c r="D42" s="11"/>
      <c r="E42" s="1" t="s">
        <v>194</v>
      </c>
      <c r="G42" s="11"/>
      <c r="H42" s="1" t="s">
        <v>105</v>
      </c>
    </row>
    <row r="43" spans="1:8" ht="19.5" customHeight="1">
      <c r="A43" s="144" t="s">
        <v>123</v>
      </c>
      <c r="B43" s="148" t="s">
        <v>214</v>
      </c>
      <c r="C43" s="149"/>
      <c r="D43" s="11"/>
      <c r="E43" s="1" t="s">
        <v>194</v>
      </c>
      <c r="G43" s="11"/>
      <c r="H43" s="1" t="s">
        <v>194</v>
      </c>
    </row>
    <row r="44" spans="1:8" ht="19.5" customHeight="1">
      <c r="A44" s="145"/>
      <c r="B44" s="148" t="s">
        <v>191</v>
      </c>
      <c r="C44" s="149"/>
      <c r="D44" s="11"/>
      <c r="E44" s="1" t="s">
        <v>194</v>
      </c>
      <c r="G44" s="11"/>
      <c r="H44" s="1" t="s">
        <v>96</v>
      </c>
    </row>
    <row r="45" spans="1:8" ht="19.5" customHeight="1">
      <c r="A45" s="1"/>
      <c r="B45" s="148" t="s">
        <v>215</v>
      </c>
      <c r="C45" s="149"/>
      <c r="D45" s="11"/>
      <c r="E45" s="1" t="s">
        <v>194</v>
      </c>
      <c r="G45" s="11"/>
      <c r="H45" s="1" t="s">
        <v>194</v>
      </c>
    </row>
    <row r="46" spans="1:8" ht="19.5" customHeight="1">
      <c r="A46" s="1"/>
      <c r="B46" s="148" t="s">
        <v>193</v>
      </c>
      <c r="C46" s="149"/>
      <c r="D46" s="11"/>
      <c r="E46" s="1" t="s">
        <v>194</v>
      </c>
      <c r="G46" s="11"/>
      <c r="H46" s="1" t="s">
        <v>97</v>
      </c>
    </row>
    <row r="47" spans="1:8" ht="19.5" customHeight="1">
      <c r="A47" s="1"/>
      <c r="B47" s="1"/>
      <c r="C47" s="1"/>
      <c r="D47" s="1"/>
      <c r="E47" s="1"/>
      <c r="G47" s="6" t="s">
        <v>122</v>
      </c>
      <c r="H47" s="1"/>
    </row>
    <row r="48" spans="1:8" ht="19.5" customHeight="1">
      <c r="A48" s="3" t="s">
        <v>216</v>
      </c>
      <c r="B48" s="148" t="s">
        <v>233</v>
      </c>
      <c r="C48" s="149"/>
      <c r="D48" s="11"/>
      <c r="E48" s="1" t="s">
        <v>194</v>
      </c>
      <c r="G48" s="11"/>
      <c r="H48" s="1" t="s">
        <v>96</v>
      </c>
    </row>
    <row r="49" spans="1:8" ht="19.5" customHeight="1">
      <c r="A49" s="144" t="s">
        <v>236</v>
      </c>
      <c r="B49" s="148" t="s">
        <v>234</v>
      </c>
      <c r="C49" s="149"/>
      <c r="D49" s="11"/>
      <c r="E49" s="1" t="s">
        <v>194</v>
      </c>
      <c r="G49" s="11"/>
      <c r="H49" s="1" t="s">
        <v>194</v>
      </c>
    </row>
    <row r="50" spans="1:8" ht="19.5" customHeight="1">
      <c r="A50" s="145"/>
      <c r="B50" s="148" t="s">
        <v>235</v>
      </c>
      <c r="C50" s="149"/>
      <c r="D50" s="11"/>
      <c r="E50" s="1" t="s">
        <v>194</v>
      </c>
      <c r="G50" s="11"/>
      <c r="H50" s="1" t="s">
        <v>97</v>
      </c>
    </row>
    <row r="51" spans="1:8" ht="19.5" customHeight="1">
      <c r="A51" s="1"/>
      <c r="B51" s="1"/>
      <c r="C51" s="1"/>
      <c r="D51" s="1"/>
      <c r="E51" s="1"/>
      <c r="G51" s="1"/>
      <c r="H51" s="1"/>
    </row>
    <row r="52" spans="1:8" ht="19.5" customHeight="1">
      <c r="A52" s="3" t="s">
        <v>77</v>
      </c>
      <c r="B52" s="156"/>
      <c r="C52" s="157"/>
      <c r="D52" s="85"/>
      <c r="E52" s="14"/>
      <c r="G52" s="1"/>
      <c r="H52" s="1"/>
    </row>
    <row r="53" spans="1:8" ht="19.5" customHeight="1">
      <c r="A53" s="144" t="s">
        <v>11</v>
      </c>
      <c r="B53" s="148" t="s">
        <v>92</v>
      </c>
      <c r="C53" s="149"/>
      <c r="D53" s="12"/>
      <c r="E53" s="1" t="s">
        <v>194</v>
      </c>
      <c r="G53" s="1"/>
      <c r="H53" s="1"/>
    </row>
    <row r="54" spans="1:8" ht="19.5" customHeight="1">
      <c r="A54" s="145"/>
      <c r="B54" s="148" t="s">
        <v>127</v>
      </c>
      <c r="C54" s="149"/>
      <c r="D54" s="12"/>
      <c r="E54" s="1" t="s">
        <v>194</v>
      </c>
      <c r="G54" s="1"/>
      <c r="H54" s="1"/>
    </row>
    <row r="55" spans="1:8" ht="19.5" customHeight="1">
      <c r="A55" s="148" t="s">
        <v>12</v>
      </c>
      <c r="B55" s="148"/>
      <c r="C55" s="150"/>
      <c r="D55" s="12"/>
      <c r="E55" s="1" t="s">
        <v>194</v>
      </c>
      <c r="G55" s="1"/>
      <c r="H55" s="1"/>
    </row>
    <row r="56" spans="1:8" ht="19.5" customHeight="1">
      <c r="A56" s="148" t="s">
        <v>14</v>
      </c>
      <c r="B56" s="148"/>
      <c r="C56" s="150"/>
      <c r="D56" s="12"/>
      <c r="E56" s="1" t="s">
        <v>194</v>
      </c>
      <c r="G56" s="1"/>
      <c r="H56" s="1"/>
    </row>
    <row r="57" spans="1:8" ht="19.5" customHeight="1">
      <c r="A57" s="1"/>
      <c r="B57" s="1"/>
      <c r="C57" s="1"/>
      <c r="D57" s="1"/>
      <c r="F57" s="1"/>
      <c r="G57" s="1"/>
      <c r="H57" s="1"/>
    </row>
    <row r="58" spans="1:8" ht="19.5" customHeight="1">
      <c r="A58" s="3" t="s">
        <v>218</v>
      </c>
      <c r="B58" s="156" t="s">
        <v>219</v>
      </c>
      <c r="C58" s="157"/>
      <c r="D58" s="148" t="s">
        <v>129</v>
      </c>
      <c r="E58" s="150"/>
      <c r="F58" s="12"/>
      <c r="G58" s="12"/>
      <c r="H58" s="1"/>
    </row>
    <row r="59" spans="1:8" ht="19.5" customHeight="1">
      <c r="A59" s="154"/>
      <c r="B59" s="155"/>
      <c r="C59" s="5" t="s">
        <v>109</v>
      </c>
      <c r="D59" s="161" t="s">
        <v>130</v>
      </c>
      <c r="E59" s="162"/>
      <c r="F59" s="12"/>
      <c r="G59" s="12"/>
      <c r="H59" s="12"/>
    </row>
    <row r="60" spans="1:8" ht="19.5" customHeight="1">
      <c r="A60" s="154"/>
      <c r="B60" s="155"/>
      <c r="C60" s="5" t="s">
        <v>108</v>
      </c>
      <c r="D60" s="161" t="s">
        <v>130</v>
      </c>
      <c r="E60" s="162"/>
      <c r="F60" s="12"/>
      <c r="G60" s="12"/>
      <c r="H60" s="1"/>
    </row>
    <row r="61" spans="1:8" ht="19.5" customHeight="1">
      <c r="A61" s="1"/>
      <c r="B61" s="1"/>
      <c r="C61" s="1"/>
      <c r="D61" s="1"/>
      <c r="E61" s="1"/>
      <c r="G61" s="1"/>
      <c r="H61" s="1"/>
    </row>
    <row r="62" spans="1:8" ht="19.5" customHeight="1">
      <c r="A62" s="1"/>
      <c r="B62" s="1"/>
      <c r="C62" s="1"/>
      <c r="D62" s="1"/>
      <c r="E62" s="1"/>
      <c r="G62" s="1"/>
      <c r="H62" s="1"/>
    </row>
    <row r="63" spans="1:8" ht="19.5" customHeight="1">
      <c r="A63" s="1" t="s">
        <v>135</v>
      </c>
      <c r="B63" s="1"/>
      <c r="C63" s="1"/>
      <c r="D63" s="1"/>
      <c r="E63" s="1"/>
      <c r="G63" s="1"/>
      <c r="H63" s="1"/>
    </row>
    <row r="64" spans="1:8" ht="19.5" customHeight="1">
      <c r="A64" s="1"/>
      <c r="B64" s="1"/>
      <c r="C64" s="1"/>
      <c r="D64" s="1"/>
      <c r="E64" s="1"/>
      <c r="G64" s="1"/>
      <c r="H64" s="1"/>
    </row>
    <row r="65" spans="1:8" ht="19.5" customHeight="1">
      <c r="A65" s="3" t="s">
        <v>118</v>
      </c>
      <c r="B65" s="148" t="s">
        <v>67</v>
      </c>
      <c r="C65" s="149"/>
      <c r="D65" s="11"/>
      <c r="E65" s="1" t="s">
        <v>98</v>
      </c>
      <c r="F65" s="4" t="s">
        <v>224</v>
      </c>
      <c r="G65" s="58"/>
      <c r="H65" s="1" t="s">
        <v>223</v>
      </c>
    </row>
    <row r="66" spans="1:8" ht="23.25" customHeight="1">
      <c r="A66" s="1"/>
      <c r="B66" s="1"/>
      <c r="C66" s="1"/>
      <c r="D66" s="1"/>
      <c r="E66" s="1"/>
      <c r="G66" s="1"/>
      <c r="H66" s="111" t="s">
        <v>121</v>
      </c>
    </row>
    <row r="67" spans="1:8" ht="19.5" customHeight="1">
      <c r="A67" s="3" t="s">
        <v>68</v>
      </c>
      <c r="B67" s="148" t="s">
        <v>69</v>
      </c>
      <c r="C67" s="149"/>
      <c r="D67" s="11"/>
      <c r="E67" s="1" t="s">
        <v>70</v>
      </c>
      <c r="F67" s="4" t="s">
        <v>71</v>
      </c>
      <c r="G67" s="12"/>
      <c r="H67" s="12"/>
    </row>
    <row r="68" spans="3:8" ht="19.5" customHeight="1">
      <c r="C68" s="5" t="s">
        <v>117</v>
      </c>
      <c r="D68" s="1">
        <v>0</v>
      </c>
      <c r="E68" s="6" t="s">
        <v>99</v>
      </c>
      <c r="F68" s="71" t="s">
        <v>71</v>
      </c>
      <c r="G68" s="12"/>
      <c r="H68" s="12"/>
    </row>
    <row r="69" spans="1:8" ht="19.5" customHeight="1">
      <c r="A69" s="1"/>
      <c r="C69" s="5" t="s">
        <v>125</v>
      </c>
      <c r="D69" s="12"/>
      <c r="E69" s="6" t="s">
        <v>99</v>
      </c>
      <c r="F69" s="71" t="s">
        <v>71</v>
      </c>
      <c r="G69" s="12"/>
      <c r="H69" s="12"/>
    </row>
    <row r="70" spans="1:8" ht="19.5" customHeight="1">
      <c r="A70" s="1"/>
      <c r="B70" s="1"/>
      <c r="C70" s="1"/>
      <c r="D70" s="1"/>
      <c r="E70" s="1"/>
      <c r="G70" s="1"/>
      <c r="H70" s="1"/>
    </row>
  </sheetData>
  <mergeCells count="48">
    <mergeCell ref="B67:C67"/>
    <mergeCell ref="E4:G4"/>
    <mergeCell ref="D58:E58"/>
    <mergeCell ref="D59:E59"/>
    <mergeCell ref="D60:E60"/>
    <mergeCell ref="A56:C56"/>
    <mergeCell ref="B58:C58"/>
    <mergeCell ref="A60:B60"/>
    <mergeCell ref="B52:C52"/>
    <mergeCell ref="B43:C43"/>
    <mergeCell ref="B53:C53"/>
    <mergeCell ref="B65:C65"/>
    <mergeCell ref="B48:C48"/>
    <mergeCell ref="B49:C49"/>
    <mergeCell ref="B50:C50"/>
    <mergeCell ref="A59:B59"/>
    <mergeCell ref="A49:A50"/>
    <mergeCell ref="B54:C54"/>
    <mergeCell ref="A55:C55"/>
    <mergeCell ref="A1:H1"/>
    <mergeCell ref="A33:B33"/>
    <mergeCell ref="F2:H2"/>
    <mergeCell ref="B27:C27"/>
    <mergeCell ref="B29:C29"/>
    <mergeCell ref="B30:C30"/>
    <mergeCell ref="B19:C19"/>
    <mergeCell ref="B21:C21"/>
    <mergeCell ref="B7:C7"/>
    <mergeCell ref="B23:C23"/>
    <mergeCell ref="G5:H5"/>
    <mergeCell ref="B10:C10"/>
    <mergeCell ref="B12:C12"/>
    <mergeCell ref="A34:B34"/>
    <mergeCell ref="B6:C6"/>
    <mergeCell ref="B25:C25"/>
    <mergeCell ref="B8:C8"/>
    <mergeCell ref="B16:C16"/>
    <mergeCell ref="B32:C32"/>
    <mergeCell ref="A43:A44"/>
    <mergeCell ref="B3:C3"/>
    <mergeCell ref="B4:C4"/>
    <mergeCell ref="A53:A54"/>
    <mergeCell ref="B41:C41"/>
    <mergeCell ref="A42:C42"/>
    <mergeCell ref="A39:C39"/>
    <mergeCell ref="B46:C46"/>
    <mergeCell ref="B44:C44"/>
    <mergeCell ref="B45:C45"/>
  </mergeCells>
  <printOptions/>
  <pageMargins left="0.6" right="0.55" top="0.85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8"/>
  <sheetViews>
    <sheetView workbookViewId="0" topLeftCell="A1">
      <selection activeCell="K25" sqref="K25"/>
    </sheetView>
  </sheetViews>
  <sheetFormatPr defaultColWidth="13.375" defaultRowHeight="13.5"/>
  <cols>
    <col min="1" max="1" width="7.375" style="0" customWidth="1"/>
    <col min="2" max="2" width="5.125" style="0" customWidth="1"/>
    <col min="3" max="3" width="10.875" style="0" customWidth="1"/>
    <col min="4" max="4" width="11.375" style="0" customWidth="1"/>
    <col min="5" max="5" width="13.00390625" style="0" customWidth="1"/>
    <col min="6" max="6" width="14.625" style="0" customWidth="1"/>
    <col min="7" max="7" width="10.875" style="0" customWidth="1"/>
    <col min="8" max="8" width="12.375" style="0" customWidth="1"/>
    <col min="9" max="9" width="11.50390625" style="0" customWidth="1"/>
    <col min="10" max="10" width="7.125" style="0" customWidth="1"/>
    <col min="11" max="11" width="6.50390625" style="0" customWidth="1"/>
  </cols>
  <sheetData>
    <row r="1" ht="99" customHeight="1"/>
    <row r="2" spans="1:9" ht="58.5" customHeight="1">
      <c r="A2" s="25"/>
      <c r="B2" s="25" t="s">
        <v>153</v>
      </c>
      <c r="C2" s="26" t="s">
        <v>196</v>
      </c>
      <c r="D2" s="16" t="s">
        <v>197</v>
      </c>
      <c r="E2" s="16" t="s">
        <v>198</v>
      </c>
      <c r="F2" s="26" t="s">
        <v>199</v>
      </c>
      <c r="G2" s="26" t="s">
        <v>154</v>
      </c>
      <c r="H2" s="26" t="s">
        <v>200</v>
      </c>
      <c r="I2" s="26" t="s">
        <v>201</v>
      </c>
    </row>
    <row r="3" spans="1:10" ht="54" customHeight="1">
      <c r="A3" s="25"/>
      <c r="B3" s="25"/>
      <c r="C3" s="27"/>
      <c r="D3" s="27"/>
      <c r="E3" s="27" t="s">
        <v>202</v>
      </c>
      <c r="F3" s="27" t="s">
        <v>155</v>
      </c>
      <c r="G3" s="27"/>
      <c r="H3" s="27" t="s">
        <v>203</v>
      </c>
      <c r="I3" s="27" t="s">
        <v>152</v>
      </c>
      <c r="J3" s="28"/>
    </row>
    <row r="4" spans="1:10" ht="16.5">
      <c r="A4" s="40" t="s">
        <v>131</v>
      </c>
      <c r="B4" s="40">
        <v>1</v>
      </c>
      <c r="C4" s="29"/>
      <c r="D4" s="39"/>
      <c r="E4" s="30">
        <f>750*C4*D4/100/1.5</f>
        <v>0</v>
      </c>
      <c r="F4" s="30">
        <f>E4*0.1</f>
        <v>0</v>
      </c>
      <c r="G4" s="29"/>
      <c r="H4" s="31">
        <f>G4*1.03</f>
        <v>0</v>
      </c>
      <c r="I4" s="30">
        <f>E4*G4</f>
        <v>0</v>
      </c>
      <c r="J4" s="32"/>
    </row>
    <row r="5" spans="1:10" ht="16.5">
      <c r="A5" s="40" t="s">
        <v>132</v>
      </c>
      <c r="B5" s="40">
        <v>2</v>
      </c>
      <c r="C5" s="29"/>
      <c r="D5" s="39"/>
      <c r="E5" s="30">
        <f>750*C5*D5/100/1.5</f>
        <v>0</v>
      </c>
      <c r="F5" s="30">
        <f>E5*0.1</f>
        <v>0</v>
      </c>
      <c r="G5" s="29"/>
      <c r="H5" s="31">
        <f>G5*1.03</f>
        <v>0</v>
      </c>
      <c r="I5" s="30">
        <f>E5*G5</f>
        <v>0</v>
      </c>
      <c r="J5" s="32"/>
    </row>
    <row r="6" spans="1:10" ht="16.5">
      <c r="A6" s="40" t="s">
        <v>133</v>
      </c>
      <c r="B6" s="40">
        <v>3</v>
      </c>
      <c r="C6" s="29"/>
      <c r="D6" s="39"/>
      <c r="E6" s="30">
        <f>750*C6*D6/100/1.5</f>
        <v>0</v>
      </c>
      <c r="F6" s="30">
        <f>E6*0.1</f>
        <v>0</v>
      </c>
      <c r="G6" s="29"/>
      <c r="H6" s="31">
        <f>G6*1.03</f>
        <v>0</v>
      </c>
      <c r="I6" s="30">
        <f>E6*G6</f>
        <v>0</v>
      </c>
      <c r="J6" s="32"/>
    </row>
    <row r="7" spans="1:10" ht="16.5">
      <c r="A7" s="40" t="s">
        <v>134</v>
      </c>
      <c r="B7" s="40">
        <v>4</v>
      </c>
      <c r="C7" s="29"/>
      <c r="D7" s="39"/>
      <c r="E7" s="30">
        <f>750*C7*D7/100/1.5</f>
        <v>0</v>
      </c>
      <c r="F7" s="30">
        <f>E7*0.1</f>
        <v>0</v>
      </c>
      <c r="G7" s="29"/>
      <c r="H7" s="31">
        <f>G7*1.03</f>
        <v>0</v>
      </c>
      <c r="I7" s="30">
        <f>E7*G7</f>
        <v>0</v>
      </c>
      <c r="J7" s="32"/>
    </row>
    <row r="29" spans="1:8" ht="16.5">
      <c r="A29" s="33"/>
      <c r="B29" s="15"/>
      <c r="C29" s="15"/>
      <c r="D29" s="15"/>
      <c r="E29" s="34"/>
      <c r="F29" s="34"/>
      <c r="G29" s="34"/>
      <c r="H29" s="34"/>
    </row>
    <row r="30" spans="1:8" ht="16.5">
      <c r="A30" s="34"/>
      <c r="B30" s="35"/>
      <c r="C30" s="35"/>
      <c r="D30" s="35"/>
      <c r="E30" s="35"/>
      <c r="F30" s="35"/>
      <c r="G30" s="35"/>
      <c r="H30" s="35"/>
    </row>
    <row r="31" spans="1:8" ht="16.5">
      <c r="A31" s="33"/>
      <c r="B31" s="36"/>
      <c r="C31" s="37"/>
      <c r="D31" s="37"/>
      <c r="E31" s="37"/>
      <c r="F31" s="36"/>
      <c r="G31" s="36"/>
      <c r="H31" s="37"/>
    </row>
    <row r="32" spans="1:8" ht="16.5">
      <c r="A32" s="33"/>
      <c r="B32" s="36"/>
      <c r="C32" s="38"/>
      <c r="D32" s="37"/>
      <c r="E32" s="37"/>
      <c r="F32" s="36"/>
      <c r="G32" s="36"/>
      <c r="H32" s="37"/>
    </row>
    <row r="33" spans="1:8" ht="16.5">
      <c r="A33" s="33"/>
      <c r="B33" s="36"/>
      <c r="C33" s="38"/>
      <c r="D33" s="37"/>
      <c r="E33" s="37"/>
      <c r="F33" s="36"/>
      <c r="G33" s="36"/>
      <c r="H33" s="37"/>
    </row>
    <row r="34" spans="1:8" ht="16.5">
      <c r="A34" s="33"/>
      <c r="B34" s="36"/>
      <c r="C34" s="38"/>
      <c r="D34" s="37"/>
      <c r="E34" s="37"/>
      <c r="F34" s="36"/>
      <c r="G34" s="36"/>
      <c r="H34" s="37"/>
    </row>
    <row r="38" ht="16.5">
      <c r="L38" t="s">
        <v>156</v>
      </c>
    </row>
  </sheetData>
  <printOptions/>
  <pageMargins left="0.7900000000000001" right="0.7900000000000001" top="0.98" bottom="0.98" header="0.51" footer="0.51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6"/>
  <sheetViews>
    <sheetView workbookViewId="0" topLeftCell="A1">
      <selection activeCell="A1" sqref="A1:H1"/>
    </sheetView>
  </sheetViews>
  <sheetFormatPr defaultColWidth="8.875" defaultRowHeight="13.5"/>
  <cols>
    <col min="1" max="1" width="22.125" style="0" customWidth="1"/>
    <col min="2" max="2" width="6.375" style="0" customWidth="1"/>
    <col min="3" max="3" width="16.625" style="0" customWidth="1"/>
    <col min="4" max="4" width="10.625" style="0" customWidth="1"/>
    <col min="5" max="5" width="4.625" style="0" customWidth="1"/>
    <col min="6" max="8" width="10.625" style="0" customWidth="1"/>
    <col min="9" max="9" width="16.125" style="0" customWidth="1"/>
    <col min="10" max="10" width="15.625" style="0" customWidth="1"/>
    <col min="11" max="11" width="11.125" style="0" customWidth="1"/>
    <col min="12" max="12" width="12.50390625" style="0" customWidth="1"/>
    <col min="13" max="13" width="12.625" style="0" customWidth="1"/>
    <col min="14" max="14" width="11.50390625" style="0" customWidth="1"/>
    <col min="15" max="15" width="11.125" style="0" customWidth="1"/>
    <col min="16" max="16" width="10.625" style="0" customWidth="1"/>
    <col min="17" max="22" width="10.875" style="0" customWidth="1"/>
    <col min="23" max="23" width="10.125" style="0" customWidth="1"/>
    <col min="24" max="24" width="6.875" style="0" customWidth="1"/>
  </cols>
  <sheetData>
    <row r="1" spans="1:23" ht="28.5" customHeight="1">
      <c r="A1" s="158" t="s">
        <v>137</v>
      </c>
      <c r="B1" s="158"/>
      <c r="C1" s="158"/>
      <c r="D1" s="158"/>
      <c r="E1" s="158"/>
      <c r="F1" s="158"/>
      <c r="G1" s="158"/>
      <c r="H1" s="158"/>
      <c r="P1" s="194" t="s">
        <v>15</v>
      </c>
      <c r="Q1" s="195"/>
      <c r="R1" s="195"/>
      <c r="S1" s="195"/>
      <c r="T1" s="195"/>
      <c r="U1" s="195"/>
      <c r="V1" s="195"/>
      <c r="W1" s="196"/>
    </row>
    <row r="2" spans="1:23" ht="15" customHeight="1">
      <c r="A2" s="1"/>
      <c r="B2" s="1"/>
      <c r="C2" s="1"/>
      <c r="D2" s="1"/>
      <c r="F2" s="189"/>
      <c r="G2" s="189"/>
      <c r="H2" s="189"/>
      <c r="P2" s="101"/>
      <c r="Q2" s="33"/>
      <c r="R2" s="33"/>
      <c r="S2" s="33"/>
      <c r="T2" s="33"/>
      <c r="U2" s="33"/>
      <c r="V2" s="33"/>
      <c r="W2" s="102"/>
    </row>
    <row r="3" spans="1:23" ht="18" customHeight="1">
      <c r="A3" s="8" t="s">
        <v>186</v>
      </c>
      <c r="B3" s="146"/>
      <c r="C3" s="146"/>
      <c r="E3" s="1" t="s">
        <v>187</v>
      </c>
      <c r="F3" s="2" t="s">
        <v>188</v>
      </c>
      <c r="G3" s="2" t="s">
        <v>136</v>
      </c>
      <c r="H3" s="17"/>
      <c r="I3" s="1" t="s">
        <v>88</v>
      </c>
      <c r="P3" s="65" t="str">
        <f>A3</f>
        <v>サンプル名：</v>
      </c>
      <c r="Q3" s="160">
        <f>IF(B3="","",B3)</f>
      </c>
      <c r="R3" s="160"/>
      <c r="S3" s="33"/>
      <c r="T3" s="14" t="s">
        <v>187</v>
      </c>
      <c r="U3" s="15" t="s">
        <v>188</v>
      </c>
      <c r="V3" s="15" t="s">
        <v>136</v>
      </c>
      <c r="W3" s="126">
        <f>IF(H3="","",H3)</f>
      </c>
    </row>
    <row r="4" spans="1:23" ht="18" customHeight="1">
      <c r="A4" s="7" t="s">
        <v>189</v>
      </c>
      <c r="B4" s="147"/>
      <c r="C4" s="147"/>
      <c r="E4" s="160" t="s">
        <v>111</v>
      </c>
      <c r="F4" s="160"/>
      <c r="G4" s="160"/>
      <c r="H4" s="10" t="s">
        <v>205</v>
      </c>
      <c r="P4" s="99" t="str">
        <f>A4</f>
        <v>分析者：</v>
      </c>
      <c r="Q4" s="160">
        <f>IF(B4="","",B4)</f>
      </c>
      <c r="R4" s="160"/>
      <c r="S4" s="33"/>
      <c r="T4" s="160" t="str">
        <f>E4</f>
        <v>分析日：      　 年　 　月　 　日</v>
      </c>
      <c r="U4" s="160"/>
      <c r="V4" s="160"/>
      <c r="W4" s="104" t="str">
        <f>H4</f>
        <v>～　　　　日</v>
      </c>
    </row>
    <row r="5" spans="1:23" ht="18" customHeight="1">
      <c r="A5" s="1"/>
      <c r="B5" s="1"/>
      <c r="C5" s="1"/>
      <c r="D5" s="1"/>
      <c r="F5" s="1"/>
      <c r="G5" s="172" t="s">
        <v>121</v>
      </c>
      <c r="H5" s="183"/>
      <c r="M5" s="182" t="s">
        <v>25</v>
      </c>
      <c r="N5" s="185"/>
      <c r="O5" s="186"/>
      <c r="P5" s="63"/>
      <c r="Q5" s="14"/>
      <c r="R5" s="14"/>
      <c r="S5" s="14"/>
      <c r="T5" s="33"/>
      <c r="U5" s="14"/>
      <c r="V5" s="172"/>
      <c r="W5" s="184"/>
    </row>
    <row r="6" spans="1:23" ht="18" customHeight="1">
      <c r="A6" s="3" t="s">
        <v>190</v>
      </c>
      <c r="B6" s="148" t="s">
        <v>191</v>
      </c>
      <c r="C6" s="149"/>
      <c r="D6" s="41"/>
      <c r="E6" s="1" t="s">
        <v>96</v>
      </c>
      <c r="G6" s="41"/>
      <c r="H6" s="1" t="s">
        <v>96</v>
      </c>
      <c r="J6" t="s">
        <v>140</v>
      </c>
      <c r="M6" s="175"/>
      <c r="N6" s="175"/>
      <c r="O6" s="187"/>
      <c r="P6" s="105"/>
      <c r="Q6" s="15"/>
      <c r="R6" s="15"/>
      <c r="S6" s="15"/>
      <c r="T6" s="15"/>
      <c r="U6" s="15"/>
      <c r="V6" s="15"/>
      <c r="W6" s="106"/>
    </row>
    <row r="7" spans="1:23" ht="18" customHeight="1">
      <c r="A7" s="1"/>
      <c r="B7" s="148" t="s">
        <v>192</v>
      </c>
      <c r="C7" s="149"/>
      <c r="D7" s="41"/>
      <c r="E7" s="1" t="s">
        <v>112</v>
      </c>
      <c r="G7" s="41"/>
      <c r="H7" s="1" t="s">
        <v>112</v>
      </c>
      <c r="J7" t="s">
        <v>138</v>
      </c>
      <c r="K7" s="20">
        <f>D7-D6</f>
        <v>0</v>
      </c>
      <c r="L7" s="20">
        <f>G7-G6</f>
        <v>0</v>
      </c>
      <c r="M7" t="s">
        <v>195</v>
      </c>
      <c r="N7" s="21" t="e">
        <f>100*(K8+L8)/(K7+L7)</f>
        <v>#DIV/0!</v>
      </c>
      <c r="O7" s="20">
        <f>IF(ISERROR(N7),50,N7)</f>
        <v>50</v>
      </c>
      <c r="P7" s="105"/>
      <c r="Q7" s="33"/>
      <c r="R7" s="160" t="s">
        <v>151</v>
      </c>
      <c r="S7" s="160"/>
      <c r="T7" s="160"/>
      <c r="U7" s="160"/>
      <c r="V7" s="33"/>
      <c r="W7" s="102"/>
    </row>
    <row r="8" spans="1:23" ht="18" customHeight="1">
      <c r="A8" s="1"/>
      <c r="B8" s="148" t="s">
        <v>193</v>
      </c>
      <c r="C8" s="149"/>
      <c r="D8" s="41"/>
      <c r="E8" s="1" t="s">
        <v>113</v>
      </c>
      <c r="G8" s="41"/>
      <c r="H8" s="1" t="s">
        <v>113</v>
      </c>
      <c r="J8" t="s">
        <v>139</v>
      </c>
      <c r="K8" s="20">
        <f>D8-D6</f>
        <v>0</v>
      </c>
      <c r="L8" s="20">
        <f>G8-G6</f>
        <v>0</v>
      </c>
      <c r="M8" t="s">
        <v>141</v>
      </c>
      <c r="N8" s="20" t="e">
        <f>100-N7</f>
        <v>#DIV/0!</v>
      </c>
      <c r="P8" s="105"/>
      <c r="Q8" s="188" t="s">
        <v>16</v>
      </c>
      <c r="R8" s="188" t="s">
        <v>18</v>
      </c>
      <c r="S8" s="188"/>
      <c r="T8" s="188" t="s">
        <v>20</v>
      </c>
      <c r="U8" s="188" t="s">
        <v>21</v>
      </c>
      <c r="V8" s="188" t="s">
        <v>22</v>
      </c>
      <c r="W8" s="190" t="s">
        <v>23</v>
      </c>
    </row>
    <row r="9" spans="1:23" ht="18" customHeight="1">
      <c r="A9" s="1"/>
      <c r="B9" s="1"/>
      <c r="C9" s="1"/>
      <c r="D9" s="1"/>
      <c r="E9" s="1"/>
      <c r="G9" s="1"/>
      <c r="H9" s="1"/>
      <c r="P9" s="105"/>
      <c r="Q9" s="189"/>
      <c r="R9" s="15" t="s">
        <v>19</v>
      </c>
      <c r="S9" s="15" t="s">
        <v>143</v>
      </c>
      <c r="T9" s="189"/>
      <c r="U9" s="189"/>
      <c r="V9" s="189"/>
      <c r="W9" s="191"/>
    </row>
    <row r="10" spans="1:23" ht="18" customHeight="1">
      <c r="A10" s="3" t="s">
        <v>66</v>
      </c>
      <c r="B10" s="148" t="s">
        <v>67</v>
      </c>
      <c r="C10" s="149"/>
      <c r="D10" s="116"/>
      <c r="E10" s="1" t="s">
        <v>98</v>
      </c>
      <c r="F10" s="4" t="s">
        <v>224</v>
      </c>
      <c r="G10" s="116"/>
      <c r="H10" s="1" t="s">
        <v>223</v>
      </c>
      <c r="P10" s="105"/>
      <c r="Q10" s="94" t="s">
        <v>17</v>
      </c>
      <c r="R10" s="192" t="s">
        <v>142</v>
      </c>
      <c r="S10" s="159"/>
      <c r="T10" s="159"/>
      <c r="U10" s="159"/>
      <c r="V10" s="159"/>
      <c r="W10" s="193"/>
    </row>
    <row r="11" spans="1:23" ht="24" customHeight="1">
      <c r="A11" s="1"/>
      <c r="B11" s="1"/>
      <c r="C11" s="1"/>
      <c r="D11" s="1"/>
      <c r="E11" s="1"/>
      <c r="G11" s="111"/>
      <c r="H11" s="111" t="s">
        <v>121</v>
      </c>
      <c r="J11" s="174" t="s">
        <v>222</v>
      </c>
      <c r="K11" s="174"/>
      <c r="P11" s="105"/>
      <c r="Q11" s="97" t="str">
        <f>IF(ISERROR(N8),"未測定",N8)</f>
        <v>未測定</v>
      </c>
      <c r="R11" s="97" t="e">
        <f>IF(AND(N65=1,H3&gt;=18),(M13+M16-(2*O7/100)),(M13+M16))</f>
        <v>#DIV/0!</v>
      </c>
      <c r="S11" s="97">
        <f>IF(AND(N65=1,H3&lt;18),((O38*0.5-2.5)*O7/100)-R11,0)</f>
        <v>0</v>
      </c>
      <c r="T11" s="97" t="e">
        <f>M19</f>
        <v>#DIV/0!</v>
      </c>
      <c r="U11" s="97" t="e">
        <f>M21</f>
        <v>#DIV/0!</v>
      </c>
      <c r="V11" s="97" t="e">
        <f>M23</f>
        <v>#DIV/0!</v>
      </c>
      <c r="W11" s="108" t="e">
        <f>M25</f>
        <v>#DIV/0!</v>
      </c>
    </row>
    <row r="12" spans="1:23" ht="18" customHeight="1">
      <c r="A12" s="3" t="s">
        <v>68</v>
      </c>
      <c r="B12" s="148" t="s">
        <v>69</v>
      </c>
      <c r="C12" s="149"/>
      <c r="D12" s="117"/>
      <c r="E12" s="1" t="s">
        <v>70</v>
      </c>
      <c r="F12" s="4" t="s">
        <v>71</v>
      </c>
      <c r="G12" s="75"/>
      <c r="H12" s="75"/>
      <c r="I12" s="22" t="e">
        <f>AVERAGE(G12:H12)</f>
        <v>#DIV/0!</v>
      </c>
      <c r="J12" s="1" t="e">
        <f>IF(G14="",I12,(I12-I13)*D14/(I14-I13))</f>
        <v>#DIV/0!</v>
      </c>
      <c r="L12" t="s">
        <v>226</v>
      </c>
      <c r="M12" t="s">
        <v>227</v>
      </c>
      <c r="P12" s="105"/>
      <c r="Q12" s="15"/>
      <c r="R12" s="14" t="s">
        <v>147</v>
      </c>
      <c r="S12" s="15"/>
      <c r="T12" s="15"/>
      <c r="U12" s="15"/>
      <c r="V12" s="15"/>
      <c r="W12" s="106"/>
    </row>
    <row r="13" spans="3:23" ht="18" customHeight="1">
      <c r="C13" s="5" t="s">
        <v>117</v>
      </c>
      <c r="D13" s="1">
        <v>0</v>
      </c>
      <c r="E13" s="6" t="s">
        <v>99</v>
      </c>
      <c r="F13" s="71" t="s">
        <v>71</v>
      </c>
      <c r="G13" s="75"/>
      <c r="H13" s="75"/>
      <c r="I13" s="22" t="e">
        <f>AVERAGE(G13:H13)</f>
        <v>#DIV/0!</v>
      </c>
      <c r="L13" s="120">
        <f>IF(ISERROR(N7),"",J12*(D12/1000)*0.777*((G$10+((D$10*$N$8)/100))/(D$10*$N$7/100)))</f>
      </c>
      <c r="M13" s="120" t="e">
        <f>IF(ISERROR(N7),J12*(D12/1000)*0.777*(G$10/D$10),L13*$N$7/100)</f>
        <v>#DIV/0!</v>
      </c>
      <c r="P13" s="105"/>
      <c r="Q13" s="33"/>
      <c r="R13" s="33"/>
      <c r="S13" s="33"/>
      <c r="T13" s="33"/>
      <c r="U13" s="33"/>
      <c r="V13" s="33"/>
      <c r="W13" s="102"/>
    </row>
    <row r="14" spans="1:23" ht="18" customHeight="1">
      <c r="A14" s="1"/>
      <c r="C14" s="5" t="s">
        <v>8</v>
      </c>
      <c r="D14" s="118"/>
      <c r="E14" s="6" t="s">
        <v>99</v>
      </c>
      <c r="F14" s="71" t="s">
        <v>71</v>
      </c>
      <c r="G14" s="75"/>
      <c r="H14" s="75"/>
      <c r="I14" s="22" t="e">
        <f>AVERAGE(G14:H14)</f>
        <v>#DIV/0!</v>
      </c>
      <c r="L14" s="121"/>
      <c r="M14" s="121"/>
      <c r="P14" s="105"/>
      <c r="Q14" s="33"/>
      <c r="R14" s="33"/>
      <c r="S14" s="33"/>
      <c r="T14" s="33"/>
      <c r="U14" s="33"/>
      <c r="V14" s="33"/>
      <c r="W14" s="102"/>
    </row>
    <row r="15" spans="1:23" ht="24.75" customHeight="1">
      <c r="A15" s="1"/>
      <c r="B15" s="1"/>
      <c r="C15" s="1"/>
      <c r="D15" s="1"/>
      <c r="E15" s="1"/>
      <c r="F15" s="1"/>
      <c r="G15" s="24"/>
      <c r="H15" s="24"/>
      <c r="J15" s="174" t="s">
        <v>222</v>
      </c>
      <c r="K15" s="175"/>
      <c r="L15" s="121"/>
      <c r="M15" s="121"/>
      <c r="P15" s="105"/>
      <c r="Q15" s="33"/>
      <c r="R15" s="160" t="s">
        <v>28</v>
      </c>
      <c r="S15" s="160"/>
      <c r="T15" s="160"/>
      <c r="U15" s="160"/>
      <c r="V15" s="33"/>
      <c r="W15" s="102"/>
    </row>
    <row r="16" spans="1:23" ht="18" customHeight="1">
      <c r="A16" s="3" t="s">
        <v>72</v>
      </c>
      <c r="B16" s="148" t="s">
        <v>69</v>
      </c>
      <c r="C16" s="149"/>
      <c r="D16" s="117"/>
      <c r="E16" s="1" t="s">
        <v>70</v>
      </c>
      <c r="F16" s="4" t="s">
        <v>71</v>
      </c>
      <c r="G16" s="75"/>
      <c r="H16" s="75"/>
      <c r="I16" s="22">
        <f>IF(G16="",0,AVERAGE(G16:H16))</f>
        <v>0</v>
      </c>
      <c r="J16" s="22">
        <f>IF(G17="",I16,I16*D17/I17)</f>
        <v>0</v>
      </c>
      <c r="L16" s="120">
        <f>IF(ISERROR(N7),"",J16*(D16/1000)*0.226*((G$10+((D$10*$N$8)/100))/(D$10*$N$7/100)))</f>
      </c>
      <c r="M16" s="120" t="e">
        <f>IF(ISERROR(N7),J16*(D16/1000)*0.226*(G$10/D$10),L16*$N$7/100)</f>
        <v>#DIV/0!</v>
      </c>
      <c r="P16" s="105"/>
      <c r="Q16" s="188" t="s">
        <v>16</v>
      </c>
      <c r="R16" s="188" t="s">
        <v>18</v>
      </c>
      <c r="S16" s="188"/>
      <c r="T16" s="188" t="s">
        <v>20</v>
      </c>
      <c r="U16" s="188" t="s">
        <v>21</v>
      </c>
      <c r="V16" s="188" t="s">
        <v>22</v>
      </c>
      <c r="W16" s="190" t="s">
        <v>23</v>
      </c>
    </row>
    <row r="17" spans="3:23" ht="18" customHeight="1">
      <c r="C17" s="5" t="s">
        <v>9</v>
      </c>
      <c r="D17" s="118"/>
      <c r="E17" s="6" t="s">
        <v>101</v>
      </c>
      <c r="F17" s="71" t="s">
        <v>71</v>
      </c>
      <c r="G17" s="75"/>
      <c r="H17" s="75"/>
      <c r="I17" s="22" t="e">
        <f>AVERAGE(G17:H17)</f>
        <v>#DIV/0!</v>
      </c>
      <c r="L17" s="121"/>
      <c r="M17" s="121"/>
      <c r="P17" s="105"/>
      <c r="Q17" s="189"/>
      <c r="R17" s="15" t="s">
        <v>19</v>
      </c>
      <c r="S17" s="15" t="s">
        <v>143</v>
      </c>
      <c r="T17" s="189"/>
      <c r="U17" s="189"/>
      <c r="V17" s="189"/>
      <c r="W17" s="191"/>
    </row>
    <row r="18" spans="1:23" ht="18" customHeight="1">
      <c r="A18" s="1"/>
      <c r="B18" s="1"/>
      <c r="C18" s="1"/>
      <c r="D18" s="1"/>
      <c r="E18" s="1"/>
      <c r="F18" s="1"/>
      <c r="G18" s="24"/>
      <c r="H18" s="24"/>
      <c r="I18" s="20"/>
      <c r="L18" s="121"/>
      <c r="M18" s="121"/>
      <c r="P18" s="105"/>
      <c r="Q18" s="94" t="s">
        <v>17</v>
      </c>
      <c r="R18" s="192" t="s">
        <v>150</v>
      </c>
      <c r="S18" s="159"/>
      <c r="T18" s="159"/>
      <c r="U18" s="159"/>
      <c r="V18" s="159"/>
      <c r="W18" s="193"/>
    </row>
    <row r="19" spans="1:23" ht="18" customHeight="1">
      <c r="A19" s="3" t="s">
        <v>73</v>
      </c>
      <c r="B19" s="148" t="s">
        <v>69</v>
      </c>
      <c r="C19" s="149"/>
      <c r="D19" s="117"/>
      <c r="E19" s="1" t="s">
        <v>70</v>
      </c>
      <c r="F19" s="4" t="s">
        <v>71</v>
      </c>
      <c r="G19" s="75"/>
      <c r="H19" s="75"/>
      <c r="I19" s="22" t="e">
        <f>AVERAGE(G19:H19)</f>
        <v>#DIV/0!</v>
      </c>
      <c r="L19" s="120">
        <f>IF(ISERROR(N7),"",I19*(D19/1000)*0.747*1.1*((G$10+((D$10*$N$8)/100))/(D$10*$N$7/100)))</f>
      </c>
      <c r="M19" s="120" t="e">
        <f>IF(ISERROR(N7),I19*(D19/1000)*0.747*1.1*(G$10/D$10),L19*$N$7/100)</f>
        <v>#DIV/0!</v>
      </c>
      <c r="P19" s="105"/>
      <c r="Q19" s="97" t="str">
        <f>IF(ISERROR(N8),"未測定",N8)</f>
        <v>未測定</v>
      </c>
      <c r="R19" s="97" t="e">
        <f>IF(AND(N65=1,H3&gt;=18),(L13+L16-2),(L13+L16))</f>
        <v>#VALUE!</v>
      </c>
      <c r="S19" s="97">
        <f>IF(AND(N65=1,H3&lt;18),((O38*0.5-2.5))-R19,0)</f>
        <v>0</v>
      </c>
      <c r="T19" s="97">
        <f>L19</f>
      </c>
      <c r="U19" s="97">
        <f>L21</f>
      </c>
      <c r="V19" s="97">
        <f>L23</f>
      </c>
      <c r="W19" s="108">
        <f>L25</f>
      </c>
    </row>
    <row r="20" spans="1:23" ht="18" customHeight="1">
      <c r="A20" s="1"/>
      <c r="B20" s="1"/>
      <c r="C20" s="1"/>
      <c r="D20" s="119"/>
      <c r="E20" s="1"/>
      <c r="F20" s="1"/>
      <c r="G20" s="24"/>
      <c r="H20" s="24"/>
      <c r="I20" s="20"/>
      <c r="J20" s="181" t="s">
        <v>10</v>
      </c>
      <c r="K20" s="175"/>
      <c r="L20" s="121"/>
      <c r="M20" s="121"/>
      <c r="P20" s="105"/>
      <c r="Q20" s="15"/>
      <c r="R20" s="14" t="s">
        <v>147</v>
      </c>
      <c r="S20" s="15"/>
      <c r="T20" s="15"/>
      <c r="U20" s="15"/>
      <c r="V20" s="15"/>
      <c r="W20" s="106"/>
    </row>
    <row r="21" spans="1:23" ht="18" customHeight="1">
      <c r="A21" s="3" t="s">
        <v>74</v>
      </c>
      <c r="B21" s="148" t="s">
        <v>69</v>
      </c>
      <c r="C21" s="149"/>
      <c r="D21" s="117"/>
      <c r="E21" s="1" t="s">
        <v>70</v>
      </c>
      <c r="F21" s="4" t="s">
        <v>71</v>
      </c>
      <c r="G21" s="75"/>
      <c r="H21" s="75"/>
      <c r="I21" s="22" t="e">
        <f>AVERAGE(G21:H21)</f>
        <v>#DIV/0!</v>
      </c>
      <c r="J21" s="73" t="e">
        <f>IF(I21&lt;=3,I21-1,I21)</f>
        <v>#DIV/0!</v>
      </c>
      <c r="K21" s="95"/>
      <c r="L21" s="120">
        <f>IF(ISERROR(N7),"",J21*(D21/1000)*1.205*0.85*((G$10+((D$10*$N$8)/100))/(D$10*$N$7/100)))</f>
      </c>
      <c r="M21" s="120" t="e">
        <f>IF(ISERROR(N7),I21*(D21/1000)*1.205*0.85*(G$10/D$10),L21*$N$7/100)</f>
        <v>#DIV/0!</v>
      </c>
      <c r="P21" s="109"/>
      <c r="Q21" s="94"/>
      <c r="R21" s="94"/>
      <c r="S21" s="94"/>
      <c r="T21" s="94"/>
      <c r="U21" s="94"/>
      <c r="V21" s="94"/>
      <c r="W21" s="107"/>
    </row>
    <row r="22" spans="1:23" ht="18" customHeight="1">
      <c r="A22" s="1"/>
      <c r="B22" s="1"/>
      <c r="C22" s="1"/>
      <c r="D22" s="119"/>
      <c r="E22" s="1"/>
      <c r="F22" s="1"/>
      <c r="G22" s="24"/>
      <c r="H22" s="24"/>
      <c r="I22" s="20"/>
      <c r="L22" s="121"/>
      <c r="M22" s="121"/>
      <c r="P22" s="2"/>
      <c r="Q22" s="2"/>
      <c r="R22" s="2"/>
      <c r="S22" s="2"/>
      <c r="T22" s="2"/>
      <c r="U22" s="2"/>
      <c r="V22" s="2"/>
      <c r="W22" s="2"/>
    </row>
    <row r="23" spans="1:23" ht="18" customHeight="1">
      <c r="A23" s="3" t="s">
        <v>76</v>
      </c>
      <c r="B23" s="148" t="s">
        <v>69</v>
      </c>
      <c r="C23" s="149"/>
      <c r="D23" s="117"/>
      <c r="E23" s="1" t="s">
        <v>70</v>
      </c>
      <c r="F23" s="4" t="s">
        <v>71</v>
      </c>
      <c r="G23" s="75"/>
      <c r="H23" s="75"/>
      <c r="I23" s="22" t="e">
        <f>AVERAGE(G23:H23)</f>
        <v>#DIV/0!</v>
      </c>
      <c r="L23" s="120">
        <f>IF(ISERROR(N7),"",I23*(D23/1000)*1.399*((G$10+((D$10*$N$8)/100))/(D$10*$N$7/100)))</f>
      </c>
      <c r="M23" s="120" t="e">
        <f>IF(ISERROR(N7),I23*(D23/1000)*1.399*(G$10/D$10),L23*$N$7/100)</f>
        <v>#DIV/0!</v>
      </c>
      <c r="P23" s="2"/>
      <c r="Q23" s="2"/>
      <c r="R23" s="2"/>
      <c r="S23" s="2"/>
      <c r="T23" s="2"/>
      <c r="U23" s="2"/>
      <c r="V23" s="2"/>
      <c r="W23" s="2"/>
    </row>
    <row r="24" spans="1:23" ht="18" customHeight="1">
      <c r="A24" s="1"/>
      <c r="B24" s="1"/>
      <c r="C24" s="1"/>
      <c r="D24" s="119"/>
      <c r="E24" s="1"/>
      <c r="F24" s="1"/>
      <c r="G24" s="24"/>
      <c r="H24" s="24"/>
      <c r="I24" s="20"/>
      <c r="L24" s="121"/>
      <c r="M24" s="121"/>
      <c r="P24" s="2"/>
      <c r="Q24" s="2"/>
      <c r="R24" s="2"/>
      <c r="S24" s="2"/>
      <c r="T24" s="2"/>
      <c r="U24" s="2"/>
      <c r="V24" s="2"/>
      <c r="W24" s="2"/>
    </row>
    <row r="25" spans="1:23" ht="18" customHeight="1">
      <c r="A25" s="3" t="s">
        <v>75</v>
      </c>
      <c r="B25" s="148" t="s">
        <v>69</v>
      </c>
      <c r="C25" s="149"/>
      <c r="D25" s="117"/>
      <c r="E25" s="1" t="s">
        <v>70</v>
      </c>
      <c r="F25" s="4" t="s">
        <v>71</v>
      </c>
      <c r="G25" s="75"/>
      <c r="H25" s="75"/>
      <c r="I25" s="22" t="e">
        <f>AVERAGE(G25:H25)</f>
        <v>#DIV/0!</v>
      </c>
      <c r="L25" s="120">
        <f>IF(ISERROR(N7),"",I25*(D25/1000)*1.658*((G$10+((D$10*$N$8)/100))/(D$10*$N$7/100)))</f>
      </c>
      <c r="M25" s="120" t="e">
        <f>IF(ISERROR(N7),I25*(D25/1000)*1.658*(G$10/D$10),L25*$N$7/100)</f>
        <v>#DIV/0!</v>
      </c>
      <c r="P25" s="2"/>
      <c r="Q25" s="2"/>
      <c r="R25" s="2"/>
      <c r="S25" s="2"/>
      <c r="T25" s="2"/>
      <c r="U25" s="2"/>
      <c r="V25" s="2"/>
      <c r="W25" s="2"/>
    </row>
    <row r="26" spans="1:23" ht="21.75" customHeight="1">
      <c r="A26" s="1"/>
      <c r="B26" s="1"/>
      <c r="C26" s="1"/>
      <c r="D26" s="1"/>
      <c r="F26" s="1"/>
      <c r="G26" s="1"/>
      <c r="H26" s="1"/>
      <c r="I26" s="20"/>
      <c r="P26" s="2"/>
      <c r="Q26" s="2"/>
      <c r="R26" s="2"/>
      <c r="S26" s="2"/>
      <c r="T26" s="2"/>
      <c r="U26" s="2"/>
      <c r="V26" s="2"/>
      <c r="W26" s="2"/>
    </row>
    <row r="27" spans="1:16" ht="18" customHeight="1">
      <c r="A27" s="1"/>
      <c r="B27" s="1"/>
      <c r="C27" s="1"/>
      <c r="D27" s="1"/>
      <c r="E27" s="1"/>
      <c r="G27" s="1"/>
      <c r="H27" s="1"/>
      <c r="I27" s="22"/>
      <c r="J27" s="180" t="s">
        <v>198</v>
      </c>
      <c r="K27" s="179" t="s">
        <v>199</v>
      </c>
      <c r="L27" s="178" t="s">
        <v>154</v>
      </c>
      <c r="M27" s="178" t="s">
        <v>200</v>
      </c>
      <c r="N27" s="179" t="s">
        <v>201</v>
      </c>
      <c r="O27" s="1"/>
      <c r="P27" s="1"/>
    </row>
    <row r="28" spans="1:16" ht="18" customHeight="1">
      <c r="A28" s="3" t="s">
        <v>77</v>
      </c>
      <c r="B28" s="148" t="s">
        <v>67</v>
      </c>
      <c r="C28" s="149"/>
      <c r="D28" s="122"/>
      <c r="E28" s="1" t="s">
        <v>98</v>
      </c>
      <c r="G28" s="1" t="s">
        <v>195</v>
      </c>
      <c r="H28" s="23">
        <f>O7</f>
        <v>50</v>
      </c>
      <c r="I28" s="22"/>
      <c r="J28" s="164"/>
      <c r="K28" s="177"/>
      <c r="L28" s="164"/>
      <c r="M28" s="164"/>
      <c r="N28" s="177"/>
      <c r="O28" s="1"/>
      <c r="P28" s="1"/>
    </row>
    <row r="29" spans="1:16" ht="25.5" customHeight="1">
      <c r="A29" s="1"/>
      <c r="B29" s="1"/>
      <c r="C29" s="1"/>
      <c r="D29" s="1"/>
      <c r="E29" s="1"/>
      <c r="G29" s="173" t="s">
        <v>221</v>
      </c>
      <c r="H29" s="173"/>
      <c r="I29" s="22"/>
      <c r="J29" s="163" t="s">
        <v>202</v>
      </c>
      <c r="K29" s="163" t="s">
        <v>155</v>
      </c>
      <c r="L29" s="164"/>
      <c r="M29" s="163" t="s">
        <v>203</v>
      </c>
      <c r="N29" s="176" t="s">
        <v>152</v>
      </c>
      <c r="O29" s="1"/>
      <c r="P29" s="1"/>
    </row>
    <row r="30" spans="1:16" ht="18" customHeight="1">
      <c r="A30" s="3" t="s">
        <v>102</v>
      </c>
      <c r="B30" s="148" t="s">
        <v>79</v>
      </c>
      <c r="C30" s="149"/>
      <c r="D30" s="41">
        <f>M31</f>
        <v>0</v>
      </c>
      <c r="E30" s="1" t="s">
        <v>114</v>
      </c>
      <c r="F30" s="4" t="s">
        <v>81</v>
      </c>
      <c r="G30" s="123"/>
      <c r="H30" s="123"/>
      <c r="I30" s="22" t="e">
        <f>AVERAGE(G30:H30)</f>
        <v>#DIV/0!</v>
      </c>
      <c r="J30" s="164"/>
      <c r="K30" s="164"/>
      <c r="L30" s="164"/>
      <c r="M30" s="164"/>
      <c r="N30" s="177"/>
      <c r="O30" s="1"/>
      <c r="P30" s="1"/>
    </row>
    <row r="31" spans="1:16" ht="18" customHeight="1">
      <c r="A31" s="1"/>
      <c r="B31" s="148" t="s">
        <v>103</v>
      </c>
      <c r="C31" s="149"/>
      <c r="D31" s="42">
        <f>N31</f>
        <v>0</v>
      </c>
      <c r="E31" t="s">
        <v>114</v>
      </c>
      <c r="G31" s="172" t="s">
        <v>220</v>
      </c>
      <c r="H31" s="172"/>
      <c r="I31" s="1"/>
      <c r="J31" s="59">
        <f>750*D28*H28/100/1.5</f>
        <v>0</v>
      </c>
      <c r="K31" s="59">
        <f>J31*0.1</f>
        <v>0</v>
      </c>
      <c r="L31" s="41"/>
      <c r="M31" s="60">
        <f>L31*1.03</f>
        <v>0</v>
      </c>
      <c r="N31" s="59">
        <f>J31*L31</f>
        <v>0</v>
      </c>
      <c r="O31" s="1"/>
      <c r="P31" s="1"/>
    </row>
    <row r="32" spans="1:15" ht="23.25" customHeight="1">
      <c r="A32" s="1"/>
      <c r="B32" s="1"/>
      <c r="C32" s="1"/>
      <c r="D32" s="112" t="s">
        <v>204</v>
      </c>
      <c r="F32" s="1"/>
      <c r="G32" s="1"/>
      <c r="H32" s="1"/>
      <c r="I32" s="1"/>
      <c r="J32" s="1"/>
      <c r="K32" s="14"/>
      <c r="L32" s="171" t="s">
        <v>225</v>
      </c>
      <c r="M32" s="171"/>
      <c r="N32" s="74"/>
      <c r="O32" s="1"/>
    </row>
    <row r="33" spans="1:15" ht="18" customHeight="1">
      <c r="A33" s="1"/>
      <c r="B33" s="1"/>
      <c r="C33" s="1"/>
      <c r="D33" s="1"/>
      <c r="F33" s="1"/>
      <c r="G33" s="1"/>
      <c r="H33" s="1"/>
      <c r="I33" s="2" t="s">
        <v>161</v>
      </c>
      <c r="J33" s="61"/>
      <c r="K33" s="62" t="s">
        <v>183</v>
      </c>
      <c r="L33" s="15"/>
      <c r="M33" s="15"/>
      <c r="N33" s="1"/>
      <c r="O33" s="1"/>
    </row>
    <row r="34" spans="1:15" ht="18" customHeight="1">
      <c r="A34" s="3" t="s">
        <v>82</v>
      </c>
      <c r="B34" s="156" t="s">
        <v>219</v>
      </c>
      <c r="C34" s="157"/>
      <c r="F34" s="4" t="s">
        <v>71</v>
      </c>
      <c r="G34" s="123"/>
      <c r="H34" s="123"/>
      <c r="I34" s="1" t="e">
        <f>AVERAGE(G34:H34)</f>
        <v>#DIV/0!</v>
      </c>
      <c r="J34" s="63" t="s">
        <v>162</v>
      </c>
      <c r="K34" s="88" t="e">
        <f>(I34-K$39)/K$38</f>
        <v>#DIV/0!</v>
      </c>
      <c r="L34" s="1"/>
      <c r="M34" s="165" t="s">
        <v>182</v>
      </c>
      <c r="N34" s="166"/>
      <c r="O34" s="90" t="e">
        <f>K34-K35</f>
        <v>#DIV/0!</v>
      </c>
    </row>
    <row r="35" spans="1:15" ht="18" customHeight="1">
      <c r="A35" s="154"/>
      <c r="B35" s="155"/>
      <c r="C35" s="5" t="s">
        <v>107</v>
      </c>
      <c r="F35" s="71" t="s">
        <v>71</v>
      </c>
      <c r="G35" s="123"/>
      <c r="H35" s="123"/>
      <c r="I35" s="1" t="e">
        <f>AVERAGE(G35:H36)</f>
        <v>#DIV/0!</v>
      </c>
      <c r="J35" s="65" t="s">
        <v>163</v>
      </c>
      <c r="K35" s="89" t="e">
        <f>(I35-K$39)/K$38</f>
        <v>#DIV/0!</v>
      </c>
      <c r="L35" s="1"/>
      <c r="M35" s="167"/>
      <c r="N35" s="168"/>
      <c r="O35" s="66"/>
    </row>
    <row r="36" spans="1:15" ht="18" customHeight="1">
      <c r="A36" s="154"/>
      <c r="B36" s="155"/>
      <c r="C36" s="5" t="s">
        <v>157</v>
      </c>
      <c r="F36" s="71"/>
      <c r="G36" s="123"/>
      <c r="H36" s="123"/>
      <c r="I36" s="1"/>
      <c r="J36" s="1"/>
      <c r="K36" s="1"/>
      <c r="L36" s="1"/>
      <c r="M36" s="1"/>
      <c r="N36" s="1"/>
      <c r="O36" s="1"/>
    </row>
    <row r="37" spans="3:15" ht="18" customHeight="1">
      <c r="C37" s="5" t="s">
        <v>100</v>
      </c>
      <c r="D37" s="124"/>
      <c r="E37" s="6" t="s">
        <v>101</v>
      </c>
      <c r="F37" s="71" t="s">
        <v>71</v>
      </c>
      <c r="G37" s="123"/>
      <c r="H37" s="123"/>
      <c r="I37" s="22">
        <f>IF(D37="","",AVERAGE(G37:H37))</f>
      </c>
      <c r="J37" s="61" t="s">
        <v>158</v>
      </c>
      <c r="K37" s="64"/>
      <c r="L37" s="1"/>
      <c r="M37" s="1"/>
      <c r="N37" s="1"/>
      <c r="O37" s="1"/>
    </row>
    <row r="38" spans="1:15" ht="18" customHeight="1">
      <c r="A38" s="1"/>
      <c r="C38" s="9"/>
      <c r="D38" s="124"/>
      <c r="E38" s="6" t="s">
        <v>99</v>
      </c>
      <c r="F38" s="71" t="s">
        <v>71</v>
      </c>
      <c r="G38" s="123"/>
      <c r="H38" s="123"/>
      <c r="I38" s="22">
        <f>IF(D38="","",AVERAGE(G38:H38))</f>
      </c>
      <c r="J38" s="67" t="s">
        <v>159</v>
      </c>
      <c r="K38" s="68" t="e">
        <f ca="1">SLOPE(OFFSET(I37,,,4,1),OFFSET(D37,,,4,1))</f>
        <v>#DIV/0!</v>
      </c>
      <c r="L38" s="1"/>
      <c r="M38" s="169" t="s">
        <v>184</v>
      </c>
      <c r="N38" s="170"/>
      <c r="O38" s="69" t="e">
        <f>O34*2*25*150/((D28*H28/100)*1000)</f>
        <v>#DIV/0!</v>
      </c>
    </row>
    <row r="39" spans="1:15" ht="18" customHeight="1">
      <c r="A39" s="1"/>
      <c r="C39" s="9"/>
      <c r="D39" s="124"/>
      <c r="E39" s="6" t="s">
        <v>99</v>
      </c>
      <c r="F39" s="71" t="s">
        <v>71</v>
      </c>
      <c r="G39" s="123"/>
      <c r="H39" s="123"/>
      <c r="I39" s="22">
        <f>IF(D39="","",AVERAGE(G39:H39))</f>
      </c>
      <c r="J39" s="67" t="s">
        <v>160</v>
      </c>
      <c r="K39" s="68" t="e">
        <f ca="1">INTERCEPT(OFFSET(I37,,,4,1),OFFSET(D37,,,4,1))</f>
        <v>#DIV/0!</v>
      </c>
      <c r="L39" s="1"/>
      <c r="M39" s="1"/>
      <c r="N39" s="2"/>
      <c r="O39" s="1"/>
    </row>
    <row r="40" spans="1:15" ht="18" customHeight="1">
      <c r="A40" s="1"/>
      <c r="C40" s="9"/>
      <c r="D40" s="124"/>
      <c r="E40" s="6" t="s">
        <v>99</v>
      </c>
      <c r="F40" s="71" t="s">
        <v>71</v>
      </c>
      <c r="G40" s="123"/>
      <c r="H40" s="123"/>
      <c r="I40" s="22">
        <f>IF(D40="","",AVERAGE(G40:H40))</f>
      </c>
      <c r="J40" s="65" t="s">
        <v>44</v>
      </c>
      <c r="K40" s="70" t="e">
        <f ca="1">CORREL(OFFSET(I37,,,4,1),OFFSET(D37,,,4,1))</f>
        <v>#DIV/0!</v>
      </c>
      <c r="L40" s="1"/>
      <c r="M40" s="1"/>
      <c r="N40" s="1"/>
      <c r="O40" s="1"/>
    </row>
    <row r="41" spans="9:15" ht="16.5">
      <c r="I41" s="1"/>
      <c r="J41" s="113"/>
      <c r="K41" s="113"/>
      <c r="L41" s="1"/>
      <c r="M41" s="1"/>
      <c r="N41" s="1"/>
      <c r="O41" s="1"/>
    </row>
    <row r="42" spans="1:16" s="82" customFormat="1" ht="19.5" customHeight="1">
      <c r="A42" s="151"/>
      <c r="B42" s="152"/>
      <c r="C42" s="152"/>
      <c r="D42" s="115"/>
      <c r="E42" s="115"/>
      <c r="F42" s="115"/>
      <c r="G42" s="115"/>
      <c r="H42" s="115"/>
      <c r="I42" s="115"/>
      <c r="J42" s="6"/>
      <c r="K42" s="6"/>
      <c r="L42" s="115"/>
      <c r="M42" s="115"/>
      <c r="N42" s="115"/>
      <c r="O42" s="115"/>
      <c r="P42" s="115"/>
    </row>
    <row r="43" spans="1:16" ht="18" customHeight="1">
      <c r="A43" s="1"/>
      <c r="B43" s="1"/>
      <c r="C43" s="1"/>
      <c r="D43" s="1"/>
      <c r="F43" s="1"/>
      <c r="G43" s="6" t="s">
        <v>122</v>
      </c>
      <c r="H43" s="1"/>
      <c r="I43" s="1"/>
      <c r="J43" s="1"/>
      <c r="K43" s="1"/>
      <c r="L43" s="1"/>
      <c r="M43" s="1"/>
      <c r="N43" s="1"/>
      <c r="O43" s="1"/>
      <c r="P43" s="1"/>
    </row>
    <row r="44" spans="1:16" ht="18" customHeight="1">
      <c r="A44" s="3" t="s">
        <v>190</v>
      </c>
      <c r="B44" s="148" t="s">
        <v>213</v>
      </c>
      <c r="C44" s="149"/>
      <c r="D44" s="76"/>
      <c r="E44" s="1" t="s">
        <v>96</v>
      </c>
      <c r="G44" s="76"/>
      <c r="H44" s="1" t="s">
        <v>96</v>
      </c>
      <c r="I44" s="1"/>
      <c r="J44" s="1" t="s">
        <v>140</v>
      </c>
      <c r="K44" s="1"/>
      <c r="L44" s="1"/>
      <c r="M44" s="1"/>
      <c r="N44" s="1"/>
      <c r="O44" s="1"/>
      <c r="P44" s="1"/>
    </row>
    <row r="45" spans="1:16" ht="18" customHeight="1">
      <c r="A45" s="148" t="s">
        <v>104</v>
      </c>
      <c r="B45" s="148"/>
      <c r="C45" s="150"/>
      <c r="D45" s="76"/>
      <c r="E45" s="1" t="s">
        <v>105</v>
      </c>
      <c r="G45" s="76"/>
      <c r="H45" s="1" t="s">
        <v>105</v>
      </c>
      <c r="I45" s="1"/>
      <c r="J45" s="4" t="s">
        <v>228</v>
      </c>
      <c r="K45" s="77">
        <f>D45-D44</f>
        <v>0</v>
      </c>
      <c r="L45" s="77">
        <f>G45-G44</f>
        <v>0</v>
      </c>
      <c r="M45" s="1"/>
      <c r="N45" s="1" t="s">
        <v>195</v>
      </c>
      <c r="O45" s="1" t="s">
        <v>141</v>
      </c>
      <c r="P45" s="1"/>
    </row>
    <row r="46" spans="1:16" ht="18" customHeight="1">
      <c r="A46" s="1"/>
      <c r="B46" s="148" t="s">
        <v>214</v>
      </c>
      <c r="C46" s="149"/>
      <c r="D46" s="76"/>
      <c r="E46" s="1" t="s">
        <v>194</v>
      </c>
      <c r="G46" s="76"/>
      <c r="H46" s="1" t="s">
        <v>194</v>
      </c>
      <c r="I46" s="1"/>
      <c r="J46" s="4" t="s">
        <v>229</v>
      </c>
      <c r="K46" s="77">
        <f>D46-D44</f>
        <v>0</v>
      </c>
      <c r="L46" s="77">
        <f>G46-G44</f>
        <v>0</v>
      </c>
      <c r="M46" s="1"/>
      <c r="N46" s="22" t="e">
        <f>(K46*K49)/K48/K45*100</f>
        <v>#DIV/0!</v>
      </c>
      <c r="O46" s="22" t="e">
        <f>100-N46</f>
        <v>#DIV/0!</v>
      </c>
      <c r="P46" s="1"/>
    </row>
    <row r="47" spans="1:16" ht="18" customHeight="1">
      <c r="A47" s="1"/>
      <c r="B47" s="148" t="s">
        <v>191</v>
      </c>
      <c r="C47" s="149"/>
      <c r="D47" s="76"/>
      <c r="E47" s="1" t="s">
        <v>96</v>
      </c>
      <c r="G47" s="76"/>
      <c r="H47" s="1" t="s">
        <v>96</v>
      </c>
      <c r="I47" s="1"/>
      <c r="J47" s="1"/>
      <c r="K47" s="1"/>
      <c r="L47" s="1"/>
      <c r="M47" s="1"/>
      <c r="N47" s="22" t="e">
        <f>(L46*L49)/L48/L45*100</f>
        <v>#DIV/0!</v>
      </c>
      <c r="O47" s="22" t="e">
        <f>100-N47</f>
        <v>#DIV/0!</v>
      </c>
      <c r="P47" s="1"/>
    </row>
    <row r="48" spans="1:16" ht="18" customHeight="1">
      <c r="A48" s="1"/>
      <c r="B48" s="148" t="s">
        <v>215</v>
      </c>
      <c r="C48" s="149"/>
      <c r="D48" s="76"/>
      <c r="E48" s="1" t="s">
        <v>194</v>
      </c>
      <c r="G48" s="76"/>
      <c r="H48" s="1" t="s">
        <v>194</v>
      </c>
      <c r="I48" s="1"/>
      <c r="J48" s="4" t="s">
        <v>230</v>
      </c>
      <c r="K48" s="77">
        <f>D48-D47</f>
        <v>0</v>
      </c>
      <c r="L48" s="77">
        <f>G48-G47</f>
        <v>0</v>
      </c>
      <c r="M48" s="4" t="s">
        <v>231</v>
      </c>
      <c r="N48" s="79" t="e">
        <f>IF(G49="",N46,AVERAGE(N46:N47))</f>
        <v>#DIV/0!</v>
      </c>
      <c r="O48" s="79" t="e">
        <f>IF(G49="",O46,AVERAGE(O46:O47))</f>
        <v>#DIV/0!</v>
      </c>
      <c r="P48" s="1"/>
    </row>
    <row r="49" spans="1:16" ht="18" customHeight="1">
      <c r="A49" s="1"/>
      <c r="B49" s="148" t="s">
        <v>193</v>
      </c>
      <c r="C49" s="149"/>
      <c r="D49" s="76"/>
      <c r="E49" s="1" t="s">
        <v>97</v>
      </c>
      <c r="G49" s="76"/>
      <c r="H49" s="1" t="s">
        <v>97</v>
      </c>
      <c r="I49" s="1"/>
      <c r="J49" s="4" t="s">
        <v>139</v>
      </c>
      <c r="K49" s="77">
        <f>D49-D47</f>
        <v>0</v>
      </c>
      <c r="L49" s="77">
        <f>G49-G47</f>
        <v>0</v>
      </c>
      <c r="M49" s="1"/>
      <c r="N49" s="1"/>
      <c r="O49" s="1"/>
      <c r="P49" s="1"/>
    </row>
    <row r="50" spans="1:16" ht="18" customHeight="1">
      <c r="A50" s="1"/>
      <c r="B50" s="1"/>
      <c r="C50" s="1"/>
      <c r="D50" s="1"/>
      <c r="E50" s="1"/>
      <c r="G50" s="6" t="s">
        <v>122</v>
      </c>
      <c r="H50" s="1"/>
      <c r="I50" s="1"/>
      <c r="J50" s="1"/>
      <c r="K50" s="1"/>
      <c r="L50" s="1"/>
      <c r="M50" s="1"/>
      <c r="N50" s="1"/>
      <c r="O50" s="1"/>
      <c r="P50" s="1"/>
    </row>
    <row r="51" spans="1:16" ht="18" customHeight="1">
      <c r="A51" s="3" t="s">
        <v>216</v>
      </c>
      <c r="B51" s="148" t="s">
        <v>233</v>
      </c>
      <c r="C51" s="149"/>
      <c r="D51" s="125"/>
      <c r="E51" s="1" t="s">
        <v>194</v>
      </c>
      <c r="G51" s="125"/>
      <c r="H51" s="1" t="s">
        <v>194</v>
      </c>
      <c r="I51" s="1"/>
      <c r="J51" s="1" t="s">
        <v>237</v>
      </c>
      <c r="K51" s="1"/>
      <c r="L51" s="1"/>
      <c r="M51" s="1"/>
      <c r="N51" s="1" t="s">
        <v>238</v>
      </c>
      <c r="O51" s="1" t="s">
        <v>241</v>
      </c>
      <c r="P51" s="1"/>
    </row>
    <row r="52" spans="1:16" ht="18" customHeight="1">
      <c r="A52" s="182" t="s">
        <v>236</v>
      </c>
      <c r="B52" s="148" t="s">
        <v>234</v>
      </c>
      <c r="C52" s="149"/>
      <c r="D52" s="125"/>
      <c r="E52" s="1" t="s">
        <v>194</v>
      </c>
      <c r="G52" s="125"/>
      <c r="H52" s="1" t="s">
        <v>194</v>
      </c>
      <c r="I52" s="1"/>
      <c r="J52" s="4" t="s">
        <v>138</v>
      </c>
      <c r="K52" s="77">
        <f>D52-D51</f>
        <v>0</v>
      </c>
      <c r="L52" s="77">
        <f>G52-G51</f>
        <v>0</v>
      </c>
      <c r="M52" s="1"/>
      <c r="N52" s="83" t="e">
        <f>K53*1000/(K52*N7/100)</f>
        <v>#DIV/0!</v>
      </c>
      <c r="O52" s="83" t="e">
        <f>L53*1000/(L52*N7/100)</f>
        <v>#DIV/0!</v>
      </c>
      <c r="P52" s="1"/>
    </row>
    <row r="53" spans="1:16" ht="18" customHeight="1">
      <c r="A53" s="182"/>
      <c r="B53" s="148" t="s">
        <v>235</v>
      </c>
      <c r="C53" s="149"/>
      <c r="D53" s="125"/>
      <c r="E53" s="1" t="s">
        <v>194</v>
      </c>
      <c r="G53" s="125"/>
      <c r="H53" s="1" t="s">
        <v>97</v>
      </c>
      <c r="I53" s="1"/>
      <c r="J53" s="4" t="s">
        <v>232</v>
      </c>
      <c r="K53" s="77">
        <f>D53-D51</f>
        <v>0</v>
      </c>
      <c r="L53" s="77">
        <f>G53-G51</f>
        <v>0</v>
      </c>
      <c r="M53" s="1"/>
      <c r="N53" s="4" t="s">
        <v>231</v>
      </c>
      <c r="O53" s="84" t="e">
        <f>IF(G53="",N52,AVERAGE(N52:O52))</f>
        <v>#DIV/0!</v>
      </c>
      <c r="P53" s="1"/>
    </row>
    <row r="54" spans="1:16" ht="18" customHeight="1">
      <c r="A54" s="1"/>
      <c r="B54" s="1"/>
      <c r="C54" s="1"/>
      <c r="D54" s="1"/>
      <c r="E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8" customHeight="1">
      <c r="A55" s="3" t="s">
        <v>77</v>
      </c>
      <c r="B55" s="148"/>
      <c r="C55" s="157"/>
      <c r="D55" s="78"/>
      <c r="E55" s="1"/>
      <c r="G55" s="14"/>
      <c r="H55" s="87"/>
      <c r="I55" s="14"/>
      <c r="J55" s="1"/>
      <c r="K55" s="1"/>
      <c r="L55" s="1"/>
      <c r="M55" s="1"/>
      <c r="N55" s="1"/>
      <c r="O55" s="1"/>
      <c r="P55" s="1"/>
    </row>
    <row r="56" spans="1:16" ht="18" customHeight="1">
      <c r="A56" s="182" t="s">
        <v>11</v>
      </c>
      <c r="B56" s="148" t="s">
        <v>92</v>
      </c>
      <c r="C56" s="149"/>
      <c r="D56" s="76"/>
      <c r="E56" s="1" t="s">
        <v>106</v>
      </c>
      <c r="G56" s="86"/>
      <c r="H56" s="86"/>
      <c r="I56" s="14"/>
      <c r="J56" s="1"/>
      <c r="K56" s="91"/>
      <c r="L56" s="91"/>
      <c r="M56" s="92"/>
      <c r="N56" s="1"/>
      <c r="O56" s="1"/>
      <c r="P56" s="1"/>
    </row>
    <row r="57" spans="1:16" ht="18" customHeight="1">
      <c r="A57" s="182"/>
      <c r="B57" s="148" t="s">
        <v>242</v>
      </c>
      <c r="C57" s="149"/>
      <c r="D57" s="76"/>
      <c r="E57" s="1" t="s">
        <v>106</v>
      </c>
      <c r="G57" s="14"/>
      <c r="H57" s="14"/>
      <c r="I57" s="14"/>
      <c r="J57" s="1" t="s">
        <v>237</v>
      </c>
      <c r="K57" s="1"/>
      <c r="L57" s="1"/>
      <c r="M57" s="1" t="s">
        <v>124</v>
      </c>
      <c r="O57" s="80"/>
      <c r="P57" s="1"/>
    </row>
    <row r="58" spans="1:16" ht="18" customHeight="1">
      <c r="A58" s="148" t="s">
        <v>12</v>
      </c>
      <c r="B58" s="148"/>
      <c r="C58" s="150"/>
      <c r="D58" s="76"/>
      <c r="E58" s="1" t="s">
        <v>115</v>
      </c>
      <c r="G58" s="72"/>
      <c r="H58" s="14"/>
      <c r="I58" s="14"/>
      <c r="J58" s="4" t="s">
        <v>13</v>
      </c>
      <c r="K58" s="77">
        <f>D58-D57</f>
        <v>0</v>
      </c>
      <c r="L58" s="77"/>
      <c r="M58" s="84" t="e">
        <f>1000-((K58-D56-K59)*1000)/(D28*H28/100)-O53</f>
        <v>#DIV/0!</v>
      </c>
      <c r="O58" s="93"/>
      <c r="P58" s="1"/>
    </row>
    <row r="59" spans="1:16" ht="18" customHeight="1">
      <c r="A59" s="148" t="s">
        <v>239</v>
      </c>
      <c r="B59" s="148"/>
      <c r="C59" s="150"/>
      <c r="D59" s="76"/>
      <c r="E59" s="1" t="s">
        <v>115</v>
      </c>
      <c r="G59" s="72"/>
      <c r="H59" s="14"/>
      <c r="I59" s="1"/>
      <c r="J59" s="4" t="s">
        <v>232</v>
      </c>
      <c r="K59" s="77">
        <f>D59-D57</f>
        <v>0</v>
      </c>
      <c r="L59" s="77"/>
      <c r="M59" s="1"/>
      <c r="N59" s="4"/>
      <c r="O59" s="93"/>
      <c r="P59" s="1"/>
    </row>
    <row r="60" spans="1:16" ht="18" customHeight="1">
      <c r="A60" s="4"/>
      <c r="B60" s="4"/>
      <c r="C60" s="13"/>
      <c r="D60" s="78"/>
      <c r="E60" s="1"/>
      <c r="G60" s="72"/>
      <c r="H60" s="14"/>
      <c r="I60" s="1"/>
      <c r="J60" s="1"/>
      <c r="K60" s="1"/>
      <c r="L60" s="1"/>
      <c r="M60" s="1"/>
      <c r="N60" s="1"/>
      <c r="O60" s="1"/>
      <c r="P60" s="1"/>
    </row>
    <row r="61" spans="1:16" ht="18" customHeight="1">
      <c r="A61" s="3"/>
      <c r="B61" s="4"/>
      <c r="C61" s="14"/>
      <c r="D61" s="78"/>
      <c r="E61" s="1"/>
      <c r="G61" s="1"/>
      <c r="H61" s="1"/>
      <c r="I61" s="2" t="s">
        <v>161</v>
      </c>
      <c r="J61" s="1" t="s">
        <v>128</v>
      </c>
      <c r="K61" s="1" t="s">
        <v>240</v>
      </c>
      <c r="M61" s="155" t="s">
        <v>148</v>
      </c>
      <c r="N61" s="152"/>
      <c r="O61" s="152"/>
      <c r="P61" s="1"/>
    </row>
    <row r="62" spans="1:16" ht="18" customHeight="1">
      <c r="A62" s="3" t="s">
        <v>218</v>
      </c>
      <c r="B62" s="156" t="s">
        <v>219</v>
      </c>
      <c r="C62" s="157"/>
      <c r="D62" s="148" t="s">
        <v>129</v>
      </c>
      <c r="E62" s="150"/>
      <c r="F62" s="76"/>
      <c r="G62" s="76"/>
      <c r="H62" s="77"/>
      <c r="I62" s="77" t="e">
        <f>AVERAGE(F62:G62)</f>
        <v>#DIV/0!</v>
      </c>
      <c r="J62" s="77" t="e">
        <f>I62-I63</f>
        <v>#DIV/0!</v>
      </c>
      <c r="K62" s="80" t="s">
        <v>181</v>
      </c>
      <c r="M62" s="1" t="s">
        <v>144</v>
      </c>
      <c r="N62" s="1" t="s">
        <v>145</v>
      </c>
      <c r="O62" s="1" t="s">
        <v>146</v>
      </c>
      <c r="P62" s="1"/>
    </row>
    <row r="63" spans="1:16" ht="18" customHeight="1">
      <c r="A63" s="154"/>
      <c r="B63" s="155"/>
      <c r="C63" s="5" t="s">
        <v>116</v>
      </c>
      <c r="D63" s="161" t="s">
        <v>130</v>
      </c>
      <c r="E63" s="162"/>
      <c r="F63" s="76"/>
      <c r="G63" s="76"/>
      <c r="H63" s="76"/>
      <c r="I63" s="77" t="e">
        <f>AVERAGE(F63:H63)</f>
        <v>#DIV/0!</v>
      </c>
      <c r="J63" s="1"/>
      <c r="K63" s="84" t="e">
        <f>IF(F64="",J62/0.05*150*0.26/(D28*H28/100),1.226*J62/0.05*150/(D28*H28/100)/(J64*1000/135))</f>
        <v>#DIV/0!</v>
      </c>
      <c r="M63" s="22" t="e">
        <f>I30</f>
        <v>#DIV/0!</v>
      </c>
      <c r="N63" s="83" t="e">
        <f>K63</f>
        <v>#DIV/0!</v>
      </c>
      <c r="O63" s="83" t="e">
        <f>M58</f>
        <v>#DIV/0!</v>
      </c>
      <c r="P63" s="1"/>
    </row>
    <row r="64" spans="1:16" ht="18" customHeight="1">
      <c r="A64" s="154"/>
      <c r="B64" s="155"/>
      <c r="C64" s="5" t="s">
        <v>108</v>
      </c>
      <c r="D64" s="161" t="s">
        <v>130</v>
      </c>
      <c r="E64" s="162"/>
      <c r="F64" s="76"/>
      <c r="G64" s="76"/>
      <c r="H64" s="77"/>
      <c r="I64" s="77" t="e">
        <f>AVERAGE(F64:G64)</f>
        <v>#DIV/0!</v>
      </c>
      <c r="J64" s="77" t="e">
        <f>I64-I63</f>
        <v>#DIV/0!</v>
      </c>
      <c r="K64" s="1"/>
      <c r="L64" s="1"/>
      <c r="M64" s="1">
        <f>IF(ISERROR(M63),0,M63)</f>
        <v>0</v>
      </c>
      <c r="N64" s="1">
        <f>IF(ISERROR(N63),0,N63)</f>
        <v>0</v>
      </c>
      <c r="O64" s="1">
        <f>IF(ISERROR(O63),0,O63)</f>
        <v>0</v>
      </c>
      <c r="P64" s="1"/>
    </row>
    <row r="65" spans="9:16" ht="16.5">
      <c r="I65" s="1"/>
      <c r="J65" s="1"/>
      <c r="K65" s="1"/>
      <c r="L65" s="1"/>
      <c r="M65" s="1"/>
      <c r="N65" s="96">
        <f>IF(OR((O64&gt;=250),AND(O64=0,N64&gt;=230),AND(O64=0,N64=0,M64&gt;=6)),1,0)</f>
        <v>0</v>
      </c>
      <c r="P65" s="1"/>
    </row>
    <row r="66" spans="7:16" ht="16.5">
      <c r="G66" s="81"/>
      <c r="H66" s="73"/>
      <c r="I66" s="1"/>
      <c r="J66" s="1"/>
      <c r="K66" s="1"/>
      <c r="L66" s="1"/>
      <c r="M66" s="1"/>
      <c r="N66" s="1" t="s">
        <v>149</v>
      </c>
      <c r="P66" s="1"/>
    </row>
    <row r="67" spans="9:16" ht="16.5">
      <c r="I67" s="1"/>
      <c r="J67" s="1"/>
      <c r="K67" s="1"/>
      <c r="L67" s="1"/>
      <c r="M67" s="1"/>
      <c r="N67" s="1"/>
      <c r="O67" s="1"/>
      <c r="P67" s="1"/>
    </row>
    <row r="68" spans="9:16" ht="16.5">
      <c r="I68" s="1"/>
      <c r="J68" s="1"/>
      <c r="K68" s="1"/>
      <c r="L68" s="1"/>
      <c r="M68" s="1"/>
      <c r="N68" s="1"/>
      <c r="O68" s="1"/>
      <c r="P68" s="1"/>
    </row>
    <row r="69" spans="9:16" ht="16.5">
      <c r="I69" s="1"/>
      <c r="J69" s="1"/>
      <c r="K69" s="1"/>
      <c r="L69" s="1"/>
      <c r="M69" s="1"/>
      <c r="N69" s="1"/>
      <c r="O69" s="1"/>
      <c r="P69" s="1"/>
    </row>
    <row r="70" spans="9:16" ht="16.5">
      <c r="I70" s="1"/>
      <c r="J70" s="1"/>
      <c r="K70" s="1"/>
      <c r="L70" s="1"/>
      <c r="M70" s="1"/>
      <c r="N70" s="1"/>
      <c r="O70" s="1"/>
      <c r="P70" s="1"/>
    </row>
    <row r="71" spans="9:16" ht="16.5">
      <c r="I71" s="1"/>
      <c r="J71" s="1"/>
      <c r="K71" s="1"/>
      <c r="L71" s="1"/>
      <c r="M71" s="1"/>
      <c r="N71" s="1"/>
      <c r="O71" s="1"/>
      <c r="P71" s="1"/>
    </row>
    <row r="72" spans="9:16" ht="16.5">
      <c r="I72" s="1"/>
      <c r="J72" s="1"/>
      <c r="K72" s="1"/>
      <c r="L72" s="1"/>
      <c r="M72" s="1"/>
      <c r="N72" s="1"/>
      <c r="P72" s="1"/>
    </row>
    <row r="73" spans="9:16" ht="19.5" customHeight="1">
      <c r="I73" s="1"/>
      <c r="J73" s="1"/>
      <c r="K73" s="1"/>
      <c r="L73" s="1"/>
      <c r="M73" s="1"/>
      <c r="N73" s="1"/>
      <c r="O73" s="1"/>
      <c r="P73" s="1"/>
    </row>
    <row r="74" spans="1:16" ht="16.5">
      <c r="A74" s="1"/>
      <c r="B74" s="1"/>
      <c r="C74" s="1"/>
      <c r="D74" s="1"/>
      <c r="E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9:16" ht="16.5">
      <c r="I75" s="1"/>
      <c r="J75" s="1"/>
      <c r="K75" s="1"/>
      <c r="L75" s="1"/>
      <c r="M75" s="1"/>
      <c r="N75" s="1"/>
      <c r="O75" s="1"/>
      <c r="P75" s="1"/>
    </row>
    <row r="76" spans="9:16" ht="16.5">
      <c r="I76" s="1"/>
      <c r="J76" s="1"/>
      <c r="K76" s="1"/>
      <c r="L76" s="1"/>
      <c r="M76" s="1"/>
      <c r="N76" s="1"/>
      <c r="O76" s="1"/>
      <c r="P76" s="1"/>
    </row>
    <row r="77" spans="9:16" ht="16.5">
      <c r="I77" s="1"/>
      <c r="J77" s="1"/>
      <c r="K77" s="1"/>
      <c r="L77" s="1"/>
      <c r="M77" s="1"/>
      <c r="N77" s="1"/>
      <c r="O77" s="1"/>
      <c r="P77" s="1"/>
    </row>
    <row r="78" spans="9:16" ht="16.5">
      <c r="I78" s="1"/>
      <c r="J78" s="1"/>
      <c r="K78" s="1"/>
      <c r="L78" s="1"/>
      <c r="M78" s="1"/>
      <c r="N78" s="1"/>
      <c r="O78" s="1"/>
      <c r="P78" s="1"/>
    </row>
    <row r="79" spans="9:16" ht="16.5">
      <c r="I79" s="1"/>
      <c r="J79" s="1"/>
      <c r="K79" s="1"/>
      <c r="L79" s="1"/>
      <c r="M79" s="1"/>
      <c r="N79" s="1"/>
      <c r="O79" s="1"/>
      <c r="P79" s="1"/>
    </row>
    <row r="80" spans="9:16" ht="16.5">
      <c r="I80" s="1"/>
      <c r="J80" s="1"/>
      <c r="K80" s="1"/>
      <c r="L80" s="1"/>
      <c r="M80" s="1"/>
      <c r="N80" s="1"/>
      <c r="O80" s="1"/>
      <c r="P80" s="1"/>
    </row>
    <row r="81" spans="9:16" ht="16.5">
      <c r="I81" s="1"/>
      <c r="J81" s="1"/>
      <c r="K81" s="1"/>
      <c r="L81" s="1"/>
      <c r="M81" s="1"/>
      <c r="N81" s="1"/>
      <c r="O81" s="1"/>
      <c r="P81" s="1"/>
    </row>
    <row r="82" spans="9:16" ht="16.5">
      <c r="I82" s="1"/>
      <c r="J82" s="1"/>
      <c r="K82" s="1"/>
      <c r="L82" s="1"/>
      <c r="M82" s="1"/>
      <c r="N82" s="1"/>
      <c r="O82" s="1"/>
      <c r="P82" s="1"/>
    </row>
    <row r="83" spans="9:16" ht="16.5">
      <c r="I83" s="1"/>
      <c r="J83" s="1"/>
      <c r="K83" s="1"/>
      <c r="L83" s="1"/>
      <c r="M83" s="1"/>
      <c r="N83" s="1"/>
      <c r="O83" s="1"/>
      <c r="P83" s="1"/>
    </row>
    <row r="84" spans="9:16" ht="16.5">
      <c r="I84" s="1"/>
      <c r="J84" s="1"/>
      <c r="K84" s="1"/>
      <c r="L84" s="1"/>
      <c r="M84" s="1"/>
      <c r="N84" s="1"/>
      <c r="O84" s="1"/>
      <c r="P84" s="1"/>
    </row>
    <row r="85" spans="9:16" ht="16.5">
      <c r="I85" s="1"/>
      <c r="J85" s="1"/>
      <c r="K85" s="1"/>
      <c r="L85" s="1"/>
      <c r="M85" s="1"/>
      <c r="N85" s="1"/>
      <c r="O85" s="1"/>
      <c r="P85" s="1"/>
    </row>
    <row r="86" spans="9:16" ht="16.5">
      <c r="I86" s="1"/>
      <c r="J86" s="1"/>
      <c r="K86" s="1"/>
      <c r="L86" s="1"/>
      <c r="M86" s="1"/>
      <c r="N86" s="1"/>
      <c r="O86" s="1"/>
      <c r="P86" s="1"/>
    </row>
    <row r="87" spans="9:16" ht="16.5">
      <c r="I87" s="1"/>
      <c r="J87" s="1"/>
      <c r="K87" s="1"/>
      <c r="L87" s="1"/>
      <c r="M87" s="1"/>
      <c r="N87" s="1"/>
      <c r="O87" s="1"/>
      <c r="P87" s="1"/>
    </row>
    <row r="88" spans="9:16" ht="16.5">
      <c r="I88" s="1"/>
      <c r="J88" s="1"/>
      <c r="K88" s="1"/>
      <c r="L88" s="1"/>
      <c r="M88" s="1"/>
      <c r="N88" s="1"/>
      <c r="O88" s="1"/>
      <c r="P88" s="1"/>
    </row>
    <row r="89" spans="9:16" ht="16.5">
      <c r="I89" s="1"/>
      <c r="J89" s="1"/>
      <c r="K89" s="1"/>
      <c r="L89" s="1"/>
      <c r="M89" s="1"/>
      <c r="N89" s="1"/>
      <c r="O89" s="1"/>
      <c r="P89" s="1"/>
    </row>
    <row r="90" spans="9:16" ht="16.5">
      <c r="I90" s="1"/>
      <c r="J90" s="1"/>
      <c r="K90" s="1"/>
      <c r="L90" s="1"/>
      <c r="M90" s="1"/>
      <c r="N90" s="1"/>
      <c r="O90" s="1"/>
      <c r="P90" s="1"/>
    </row>
    <row r="91" spans="9:16" ht="16.5">
      <c r="I91" s="1"/>
      <c r="J91" s="1"/>
      <c r="K91" s="1"/>
      <c r="L91" s="1"/>
      <c r="M91" s="1"/>
      <c r="N91" s="1"/>
      <c r="O91" s="1"/>
      <c r="P91" s="1"/>
    </row>
    <row r="92" spans="9:16" ht="16.5">
      <c r="I92" s="1"/>
      <c r="J92" s="1"/>
      <c r="K92" s="1"/>
      <c r="L92" s="1"/>
      <c r="M92" s="1"/>
      <c r="N92" s="1"/>
      <c r="O92" s="1"/>
      <c r="P92" s="1"/>
    </row>
    <row r="93" spans="9:16" ht="16.5">
      <c r="I93" s="1"/>
      <c r="J93" s="1"/>
      <c r="K93" s="1"/>
      <c r="L93" s="1"/>
      <c r="M93" s="1"/>
      <c r="N93" s="1"/>
      <c r="O93" s="1"/>
      <c r="P93" s="1"/>
    </row>
    <row r="94" spans="9:16" ht="16.5">
      <c r="I94" s="1"/>
      <c r="J94" s="1"/>
      <c r="K94" s="1"/>
      <c r="L94" s="1"/>
      <c r="M94" s="1"/>
      <c r="N94" s="1"/>
      <c r="O94" s="1"/>
      <c r="P94" s="1"/>
    </row>
    <row r="95" spans="9:16" ht="16.5">
      <c r="I95" s="1"/>
      <c r="J95" s="1"/>
      <c r="K95" s="1"/>
      <c r="L95" s="1"/>
      <c r="M95" s="1"/>
      <c r="N95" s="1"/>
      <c r="O95" s="1"/>
      <c r="P95" s="1"/>
    </row>
    <row r="96" spans="9:10" ht="16.5">
      <c r="I96" s="1"/>
      <c r="J96" s="1"/>
    </row>
  </sheetData>
  <mergeCells count="85">
    <mergeCell ref="R7:U7"/>
    <mergeCell ref="R15:U15"/>
    <mergeCell ref="Q16:Q17"/>
    <mergeCell ref="R16:S16"/>
    <mergeCell ref="T16:T17"/>
    <mergeCell ref="U16:U17"/>
    <mergeCell ref="P1:W1"/>
    <mergeCell ref="R8:S8"/>
    <mergeCell ref="R10:W10"/>
    <mergeCell ref="Q8:Q9"/>
    <mergeCell ref="T8:T9"/>
    <mergeCell ref="U8:U9"/>
    <mergeCell ref="V8:V9"/>
    <mergeCell ref="W8:W9"/>
    <mergeCell ref="Q3:R3"/>
    <mergeCell ref="Q4:R4"/>
    <mergeCell ref="A1:H1"/>
    <mergeCell ref="A36:B36"/>
    <mergeCell ref="F2:H2"/>
    <mergeCell ref="B28:C28"/>
    <mergeCell ref="B30:C30"/>
    <mergeCell ref="B25:C25"/>
    <mergeCell ref="B8:C8"/>
    <mergeCell ref="B16:C16"/>
    <mergeCell ref="B3:C3"/>
    <mergeCell ref="B4:C4"/>
    <mergeCell ref="B47:C47"/>
    <mergeCell ref="B48:C48"/>
    <mergeCell ref="B49:C49"/>
    <mergeCell ref="A59:C59"/>
    <mergeCell ref="T4:V4"/>
    <mergeCell ref="V5:W5"/>
    <mergeCell ref="M5:O6"/>
    <mergeCell ref="V16:V17"/>
    <mergeCell ref="W16:W17"/>
    <mergeCell ref="R18:W18"/>
    <mergeCell ref="B44:C44"/>
    <mergeCell ref="A35:B35"/>
    <mergeCell ref="B10:C10"/>
    <mergeCell ref="B34:C34"/>
    <mergeCell ref="A42:C42"/>
    <mergeCell ref="B31:C31"/>
    <mergeCell ref="B19:C19"/>
    <mergeCell ref="B21:C21"/>
    <mergeCell ref="B6:C6"/>
    <mergeCell ref="B7:C7"/>
    <mergeCell ref="E4:G4"/>
    <mergeCell ref="B23:C23"/>
    <mergeCell ref="B12:C12"/>
    <mergeCell ref="G5:H5"/>
    <mergeCell ref="B46:C46"/>
    <mergeCell ref="A45:C45"/>
    <mergeCell ref="A52:A53"/>
    <mergeCell ref="A58:C58"/>
    <mergeCell ref="A56:A57"/>
    <mergeCell ref="B51:C51"/>
    <mergeCell ref="B52:C52"/>
    <mergeCell ref="B53:C53"/>
    <mergeCell ref="B55:C55"/>
    <mergeCell ref="B56:C56"/>
    <mergeCell ref="D62:E62"/>
    <mergeCell ref="D63:E63"/>
    <mergeCell ref="B57:C57"/>
    <mergeCell ref="D64:E64"/>
    <mergeCell ref="A63:B63"/>
    <mergeCell ref="B62:C62"/>
    <mergeCell ref="A64:B64"/>
    <mergeCell ref="J11:K11"/>
    <mergeCell ref="J27:J28"/>
    <mergeCell ref="K27:K28"/>
    <mergeCell ref="K29:K30"/>
    <mergeCell ref="J29:J30"/>
    <mergeCell ref="J20:K20"/>
    <mergeCell ref="J15:K15"/>
    <mergeCell ref="M61:O61"/>
    <mergeCell ref="N29:N30"/>
    <mergeCell ref="M27:M28"/>
    <mergeCell ref="N27:N28"/>
    <mergeCell ref="L27:L30"/>
    <mergeCell ref="M29:M30"/>
    <mergeCell ref="M34:N35"/>
    <mergeCell ref="M38:N38"/>
    <mergeCell ref="L32:M32"/>
    <mergeCell ref="G31:H31"/>
    <mergeCell ref="G29:H29"/>
  </mergeCells>
  <printOptions/>
  <pageMargins left="0.6" right="0.55" top="0.85" bottom="1" header="0.512" footer="0.51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6"/>
  <sheetViews>
    <sheetView workbookViewId="0" topLeftCell="A1">
      <selection activeCell="A1" sqref="A1:H1"/>
    </sheetView>
  </sheetViews>
  <sheetFormatPr defaultColWidth="8.875" defaultRowHeight="13.5"/>
  <cols>
    <col min="1" max="1" width="22.125" style="0" customWidth="1"/>
    <col min="2" max="2" width="6.375" style="0" customWidth="1"/>
    <col min="3" max="3" width="16.625" style="0" customWidth="1"/>
    <col min="4" max="4" width="10.625" style="0" customWidth="1"/>
    <col min="5" max="5" width="4.625" style="0" customWidth="1"/>
    <col min="6" max="8" width="10.625" style="0" customWidth="1"/>
    <col min="9" max="9" width="16.125" style="0" customWidth="1"/>
    <col min="10" max="10" width="15.625" style="0" customWidth="1"/>
    <col min="11" max="11" width="11.125" style="0" customWidth="1"/>
    <col min="12" max="12" width="12.50390625" style="0" customWidth="1"/>
    <col min="13" max="13" width="12.625" style="0" customWidth="1"/>
    <col min="14" max="14" width="11.50390625" style="0" customWidth="1"/>
    <col min="15" max="15" width="11.125" style="0" customWidth="1"/>
    <col min="16" max="16" width="10.625" style="0" customWidth="1"/>
    <col min="17" max="22" width="10.875" style="0" customWidth="1"/>
    <col min="23" max="23" width="10.125" style="0" customWidth="1"/>
    <col min="24" max="24" width="6.875" style="0" customWidth="1"/>
  </cols>
  <sheetData>
    <row r="1" spans="1:23" ht="28.5" customHeight="1">
      <c r="A1" s="158" t="s">
        <v>62</v>
      </c>
      <c r="B1" s="158"/>
      <c r="C1" s="158"/>
      <c r="D1" s="158"/>
      <c r="E1" s="158"/>
      <c r="F1" s="158"/>
      <c r="G1" s="158"/>
      <c r="H1" s="158"/>
      <c r="P1" s="194" t="s">
        <v>63</v>
      </c>
      <c r="Q1" s="195"/>
      <c r="R1" s="195"/>
      <c r="S1" s="195"/>
      <c r="T1" s="195"/>
      <c r="U1" s="195"/>
      <c r="V1" s="195"/>
      <c r="W1" s="196"/>
    </row>
    <row r="2" spans="1:23" ht="15" customHeight="1">
      <c r="A2" s="1"/>
      <c r="B2" s="1"/>
      <c r="C2" s="1"/>
      <c r="D2" s="1"/>
      <c r="F2" s="15" t="s">
        <v>59</v>
      </c>
      <c r="G2" s="15" t="s">
        <v>60</v>
      </c>
      <c r="H2" s="15" t="s">
        <v>61</v>
      </c>
      <c r="I2" s="1" t="s">
        <v>65</v>
      </c>
      <c r="P2" s="101"/>
      <c r="Q2" s="33"/>
      <c r="R2" s="33"/>
      <c r="S2" s="33"/>
      <c r="T2" s="33"/>
      <c r="U2" s="33"/>
      <c r="V2" s="33"/>
      <c r="W2" s="102"/>
    </row>
    <row r="3" spans="1:23" ht="18" customHeight="1">
      <c r="A3" s="8" t="s">
        <v>186</v>
      </c>
      <c r="B3" s="146"/>
      <c r="C3" s="146"/>
      <c r="E3" s="1" t="s">
        <v>187</v>
      </c>
      <c r="F3" s="2" t="s">
        <v>206</v>
      </c>
      <c r="G3" s="17"/>
      <c r="H3" s="17"/>
      <c r="I3" s="1" t="s">
        <v>64</v>
      </c>
      <c r="P3" s="65" t="str">
        <f>A3</f>
        <v>サンプル名：</v>
      </c>
      <c r="Q3" s="160">
        <f>IF(B3="","",B3)</f>
      </c>
      <c r="R3" s="160"/>
      <c r="S3" s="33"/>
      <c r="T3" s="14" t="s">
        <v>187</v>
      </c>
      <c r="U3" s="15" t="s">
        <v>206</v>
      </c>
      <c r="V3" s="15" t="s">
        <v>164</v>
      </c>
      <c r="W3" s="103"/>
    </row>
    <row r="4" spans="1:23" ht="18" customHeight="1">
      <c r="A4" s="7" t="s">
        <v>189</v>
      </c>
      <c r="B4" s="147"/>
      <c r="C4" s="147"/>
      <c r="E4" s="160" t="s">
        <v>110</v>
      </c>
      <c r="F4" s="160"/>
      <c r="G4" s="160"/>
      <c r="H4" s="10" t="s">
        <v>205</v>
      </c>
      <c r="P4" s="99" t="str">
        <f>A4</f>
        <v>分析者：</v>
      </c>
      <c r="Q4" s="160">
        <f>IF(B4="","",B4)</f>
      </c>
      <c r="R4" s="160"/>
      <c r="S4" s="33"/>
      <c r="T4" s="160" t="str">
        <f>E4</f>
        <v>分析日：      　 年　 　月　 　日</v>
      </c>
      <c r="U4" s="160"/>
      <c r="V4" s="160"/>
      <c r="W4" s="104" t="str">
        <f>H4</f>
        <v>～　　　　日</v>
      </c>
    </row>
    <row r="5" spans="1:23" ht="18" customHeight="1">
      <c r="A5" s="1"/>
      <c r="B5" s="1"/>
      <c r="C5" s="1"/>
      <c r="D5" s="1"/>
      <c r="F5" s="1"/>
      <c r="G5" s="172" t="s">
        <v>121</v>
      </c>
      <c r="H5" s="183"/>
      <c r="M5" s="182" t="s">
        <v>26</v>
      </c>
      <c r="N5" s="185"/>
      <c r="O5" s="186"/>
      <c r="P5" s="63"/>
      <c r="Q5" s="14"/>
      <c r="R5" s="14"/>
      <c r="S5" s="14"/>
      <c r="T5" s="33"/>
      <c r="U5" s="14"/>
      <c r="V5" s="172"/>
      <c r="W5" s="184"/>
    </row>
    <row r="6" spans="1:23" ht="18" customHeight="1">
      <c r="A6" s="3" t="s">
        <v>190</v>
      </c>
      <c r="B6" s="148" t="s">
        <v>191</v>
      </c>
      <c r="C6" s="149"/>
      <c r="D6" s="41"/>
      <c r="E6" s="1" t="s">
        <v>209</v>
      </c>
      <c r="G6" s="41"/>
      <c r="H6" s="1" t="s">
        <v>209</v>
      </c>
      <c r="J6" t="s">
        <v>140</v>
      </c>
      <c r="M6" s="175"/>
      <c r="N6" s="175"/>
      <c r="O6" s="187"/>
      <c r="P6" s="105"/>
      <c r="Q6" s="15"/>
      <c r="R6" s="15"/>
      <c r="S6" s="15"/>
      <c r="T6" s="15"/>
      <c r="U6" s="15"/>
      <c r="V6" s="15"/>
      <c r="W6" s="106"/>
    </row>
    <row r="7" spans="1:23" ht="18" customHeight="1">
      <c r="A7" s="1"/>
      <c r="B7" s="148" t="s">
        <v>192</v>
      </c>
      <c r="C7" s="149"/>
      <c r="D7" s="41"/>
      <c r="E7" s="1" t="s">
        <v>210</v>
      </c>
      <c r="G7" s="41"/>
      <c r="H7" s="1" t="s">
        <v>210</v>
      </c>
      <c r="J7" t="s">
        <v>138</v>
      </c>
      <c r="K7" s="20">
        <f>D7-D6</f>
        <v>0</v>
      </c>
      <c r="L7" s="20">
        <f>G7-G6</f>
        <v>0</v>
      </c>
      <c r="M7" t="s">
        <v>195</v>
      </c>
      <c r="N7" s="21" t="e">
        <f>100*(K8+L8)/(K7+L7)</f>
        <v>#DIV/0!</v>
      </c>
      <c r="O7" s="20">
        <f>IF(ISERROR(N7),70,N7)</f>
        <v>70</v>
      </c>
      <c r="P7" s="105"/>
      <c r="Q7" s="33"/>
      <c r="R7" s="160" t="s">
        <v>151</v>
      </c>
      <c r="S7" s="160"/>
      <c r="T7" s="160"/>
      <c r="U7" s="160"/>
      <c r="V7" s="33"/>
      <c r="W7" s="102"/>
    </row>
    <row r="8" spans="1:23" ht="18" customHeight="1">
      <c r="A8" s="1"/>
      <c r="B8" s="148" t="s">
        <v>193</v>
      </c>
      <c r="C8" s="149"/>
      <c r="D8" s="41"/>
      <c r="E8" s="1" t="s">
        <v>211</v>
      </c>
      <c r="G8" s="41"/>
      <c r="H8" s="1" t="s">
        <v>211</v>
      </c>
      <c r="J8" t="s">
        <v>139</v>
      </c>
      <c r="K8" s="20">
        <f>D8-D6</f>
        <v>0</v>
      </c>
      <c r="L8" s="20">
        <f>G8-G6</f>
        <v>0</v>
      </c>
      <c r="M8" t="s">
        <v>141</v>
      </c>
      <c r="N8" s="20" t="e">
        <f>100-N7</f>
        <v>#DIV/0!</v>
      </c>
      <c r="P8" s="105"/>
      <c r="Q8" s="188" t="s">
        <v>16</v>
      </c>
      <c r="R8" s="188" t="s">
        <v>18</v>
      </c>
      <c r="S8" s="188"/>
      <c r="T8" s="188" t="s">
        <v>20</v>
      </c>
      <c r="U8" s="188" t="s">
        <v>29</v>
      </c>
      <c r="V8" s="188" t="s">
        <v>22</v>
      </c>
      <c r="W8" s="190" t="s">
        <v>23</v>
      </c>
    </row>
    <row r="9" spans="1:23" ht="18" customHeight="1">
      <c r="A9" s="1"/>
      <c r="B9" s="1"/>
      <c r="C9" s="1"/>
      <c r="D9" s="1"/>
      <c r="E9" s="1"/>
      <c r="G9" s="1"/>
      <c r="H9" s="1"/>
      <c r="P9" s="105"/>
      <c r="Q9" s="189"/>
      <c r="R9" s="15" t="s">
        <v>19</v>
      </c>
      <c r="S9" s="15" t="s">
        <v>143</v>
      </c>
      <c r="T9" s="189"/>
      <c r="U9" s="189"/>
      <c r="V9" s="189"/>
      <c r="W9" s="191"/>
    </row>
    <row r="10" spans="1:23" ht="18" customHeight="1">
      <c r="A10" s="3" t="s">
        <v>66</v>
      </c>
      <c r="B10" s="148" t="s">
        <v>67</v>
      </c>
      <c r="C10" s="149"/>
      <c r="D10" s="18"/>
      <c r="E10" s="1" t="s">
        <v>211</v>
      </c>
      <c r="F10" s="4" t="s">
        <v>224</v>
      </c>
      <c r="G10" s="18"/>
      <c r="H10" s="1" t="s">
        <v>30</v>
      </c>
      <c r="P10" s="105"/>
      <c r="Q10" s="94" t="s">
        <v>17</v>
      </c>
      <c r="R10" s="192" t="s">
        <v>142</v>
      </c>
      <c r="S10" s="159"/>
      <c r="T10" s="159"/>
      <c r="U10" s="159"/>
      <c r="V10" s="159"/>
      <c r="W10" s="193"/>
    </row>
    <row r="11" spans="1:23" ht="24.75" customHeight="1">
      <c r="A11" s="1"/>
      <c r="B11" s="1"/>
      <c r="C11" s="1"/>
      <c r="D11" s="1"/>
      <c r="E11" s="1"/>
      <c r="G11" s="111"/>
      <c r="H11" s="111" t="s">
        <v>121</v>
      </c>
      <c r="J11" s="174" t="s">
        <v>222</v>
      </c>
      <c r="K11" s="174"/>
      <c r="P11" s="105"/>
      <c r="Q11" s="97" t="str">
        <f>IF(ISERROR(N8),"未測定",N8)</f>
        <v>未測定</v>
      </c>
      <c r="R11" s="97" t="e">
        <f>IF(ISERROR(N7),(IF(N65=1,(M13+M16-N71*O7/100+G3*((0.5*O38-2.5+N71)*O7/100-M13-M16)),(M13+M16))),R19*O7/100)</f>
        <v>#DIV/0!</v>
      </c>
      <c r="S11" s="97">
        <f>IF(ISERROR(N7),(IF(N65=1,(((0.5*O38-2.5+N71)*O7/100-M13-M16)*(H3-G3)),0)),S19*O7/100)</f>
        <v>0</v>
      </c>
      <c r="T11" s="97" t="e">
        <f>M19</f>
        <v>#DIV/0!</v>
      </c>
      <c r="U11" s="97" t="e">
        <f>M21</f>
        <v>#DIV/0!</v>
      </c>
      <c r="V11" s="97" t="e">
        <f>M23</f>
        <v>#DIV/0!</v>
      </c>
      <c r="W11" s="108" t="e">
        <f>M25</f>
        <v>#DIV/0!</v>
      </c>
    </row>
    <row r="12" spans="1:23" ht="18" customHeight="1">
      <c r="A12" s="3" t="s">
        <v>68</v>
      </c>
      <c r="B12" s="148" t="s">
        <v>69</v>
      </c>
      <c r="C12" s="149"/>
      <c r="D12" s="127"/>
      <c r="E12" s="1" t="s">
        <v>70</v>
      </c>
      <c r="F12" s="4" t="s">
        <v>71</v>
      </c>
      <c r="G12" s="75"/>
      <c r="H12" s="75"/>
      <c r="I12" s="22" t="e">
        <f>AVERAGE(G12:H12)</f>
        <v>#DIV/0!</v>
      </c>
      <c r="J12" s="1" t="e">
        <f>IF(G14="",I12,(I12-I13)*D14/(I14-I13))</f>
        <v>#DIV/0!</v>
      </c>
      <c r="L12" t="s">
        <v>226</v>
      </c>
      <c r="M12" t="s">
        <v>227</v>
      </c>
      <c r="P12" s="105"/>
      <c r="Q12" s="15"/>
      <c r="R12" s="14" t="s">
        <v>147</v>
      </c>
      <c r="S12" s="15"/>
      <c r="T12" s="15"/>
      <c r="U12" s="15"/>
      <c r="V12" s="15"/>
      <c r="W12" s="106"/>
    </row>
    <row r="13" spans="3:23" ht="18" customHeight="1">
      <c r="C13" s="5" t="s">
        <v>117</v>
      </c>
      <c r="D13" s="1">
        <v>0</v>
      </c>
      <c r="E13" s="6" t="s">
        <v>31</v>
      </c>
      <c r="F13" s="71" t="s">
        <v>71</v>
      </c>
      <c r="G13" s="75"/>
      <c r="H13" s="75"/>
      <c r="I13" s="22" t="e">
        <f>AVERAGE(G13:H13)</f>
        <v>#DIV/0!</v>
      </c>
      <c r="L13" s="21">
        <f>IF(ISERROR(N7),"",J12*(D12/1000)*0.777*((G$10+((D$10*$N$8)/100))/(D$10*$N$7/100)))</f>
      </c>
      <c r="M13" s="21" t="e">
        <f>IF(ISERROR(N7),J12*(D12/1000)*0.777*(G$10/D$10),L13*$N$7/100)</f>
        <v>#DIV/0!</v>
      </c>
      <c r="P13" s="105"/>
      <c r="Q13" s="33"/>
      <c r="R13" s="33"/>
      <c r="S13" s="33"/>
      <c r="T13" s="33"/>
      <c r="U13" s="33"/>
      <c r="V13" s="33"/>
      <c r="W13" s="102"/>
    </row>
    <row r="14" spans="1:23" ht="18" customHeight="1">
      <c r="A14" s="1"/>
      <c r="C14" s="5" t="s">
        <v>32</v>
      </c>
      <c r="D14" s="128"/>
      <c r="E14" s="6" t="s">
        <v>31</v>
      </c>
      <c r="F14" s="71" t="s">
        <v>71</v>
      </c>
      <c r="G14" s="75"/>
      <c r="H14" s="75"/>
      <c r="I14" s="22" t="e">
        <f>AVERAGE(G14:H14)</f>
        <v>#DIV/0!</v>
      </c>
      <c r="P14" s="105"/>
      <c r="Q14" s="33"/>
      <c r="R14" s="33"/>
      <c r="S14" s="33"/>
      <c r="T14" s="33"/>
      <c r="U14" s="33"/>
      <c r="V14" s="33"/>
      <c r="W14" s="102"/>
    </row>
    <row r="15" spans="1:23" ht="27" customHeight="1">
      <c r="A15" s="1"/>
      <c r="B15" s="1"/>
      <c r="C15" s="1"/>
      <c r="D15" s="1"/>
      <c r="E15" s="1"/>
      <c r="F15" s="1"/>
      <c r="G15" s="24"/>
      <c r="H15" s="24"/>
      <c r="J15" s="174" t="s">
        <v>222</v>
      </c>
      <c r="K15" s="175"/>
      <c r="P15" s="105"/>
      <c r="Q15" s="33"/>
      <c r="R15" s="160" t="s">
        <v>28</v>
      </c>
      <c r="S15" s="160"/>
      <c r="T15" s="160"/>
      <c r="U15" s="160"/>
      <c r="V15" s="33"/>
      <c r="W15" s="102"/>
    </row>
    <row r="16" spans="1:23" ht="18" customHeight="1">
      <c r="A16" s="3" t="s">
        <v>72</v>
      </c>
      <c r="B16" s="148" t="s">
        <v>69</v>
      </c>
      <c r="C16" s="149"/>
      <c r="D16" s="127"/>
      <c r="E16" s="1" t="s">
        <v>70</v>
      </c>
      <c r="F16" s="4" t="s">
        <v>71</v>
      </c>
      <c r="G16" s="75"/>
      <c r="H16" s="75"/>
      <c r="I16" s="22">
        <f>IF(G16="",0,AVERAGE(G16:H16))</f>
        <v>0</v>
      </c>
      <c r="J16" s="22">
        <f>IF(G17="",I16,I16*D17/I17)</f>
        <v>0</v>
      </c>
      <c r="L16" s="21">
        <f>IF(ISERROR(N7),"",J16*(D16/1000)*0.226*((G$10+((D$10*$N$8)/100))/(D$10*$N$7/100)))</f>
      </c>
      <c r="M16" s="21" t="e">
        <f>IF(ISERROR(N7),J16*(D16/1000)*0.226*(G$10/D$10),L16*$N$7/100)</f>
        <v>#DIV/0!</v>
      </c>
      <c r="P16" s="105"/>
      <c r="Q16" s="188" t="s">
        <v>16</v>
      </c>
      <c r="R16" s="188" t="s">
        <v>18</v>
      </c>
      <c r="S16" s="188"/>
      <c r="T16" s="188" t="s">
        <v>20</v>
      </c>
      <c r="U16" s="188" t="s">
        <v>29</v>
      </c>
      <c r="V16" s="188" t="s">
        <v>22</v>
      </c>
      <c r="W16" s="190" t="s">
        <v>23</v>
      </c>
    </row>
    <row r="17" spans="3:23" ht="18" customHeight="1">
      <c r="C17" s="5" t="s">
        <v>33</v>
      </c>
      <c r="D17" s="128"/>
      <c r="E17" s="6" t="s">
        <v>99</v>
      </c>
      <c r="F17" s="71" t="s">
        <v>71</v>
      </c>
      <c r="G17" s="75"/>
      <c r="H17" s="75"/>
      <c r="I17" s="22" t="e">
        <f>AVERAGE(G17:H17)</f>
        <v>#DIV/0!</v>
      </c>
      <c r="P17" s="105"/>
      <c r="Q17" s="189"/>
      <c r="R17" s="15" t="s">
        <v>19</v>
      </c>
      <c r="S17" s="15" t="s">
        <v>143</v>
      </c>
      <c r="T17" s="189"/>
      <c r="U17" s="189"/>
      <c r="V17" s="189"/>
      <c r="W17" s="191"/>
    </row>
    <row r="18" spans="1:23" ht="18" customHeight="1">
      <c r="A18" s="1"/>
      <c r="B18" s="1"/>
      <c r="C18" s="1"/>
      <c r="D18" s="1"/>
      <c r="E18" s="1"/>
      <c r="F18" s="1"/>
      <c r="G18" s="24"/>
      <c r="H18" s="24"/>
      <c r="I18" s="20"/>
      <c r="P18" s="105"/>
      <c r="Q18" s="94" t="s">
        <v>17</v>
      </c>
      <c r="R18" s="192" t="s">
        <v>150</v>
      </c>
      <c r="S18" s="159"/>
      <c r="T18" s="159"/>
      <c r="U18" s="159"/>
      <c r="V18" s="159"/>
      <c r="W18" s="193"/>
    </row>
    <row r="19" spans="1:23" ht="18" customHeight="1">
      <c r="A19" s="3" t="s">
        <v>73</v>
      </c>
      <c r="B19" s="148" t="s">
        <v>69</v>
      </c>
      <c r="C19" s="149"/>
      <c r="D19" s="127"/>
      <c r="E19" s="1" t="s">
        <v>70</v>
      </c>
      <c r="F19" s="4" t="s">
        <v>71</v>
      </c>
      <c r="G19" s="75"/>
      <c r="H19" s="75"/>
      <c r="I19" s="22" t="e">
        <f>AVERAGE(G19:H19)</f>
        <v>#DIV/0!</v>
      </c>
      <c r="L19" s="21">
        <f>IF(ISERROR(N7),"",I19*(D19/1000)*0.747*1.1*((G$10+((D$10*$N$8)/100))/(D$10*$N$7/100)))</f>
      </c>
      <c r="M19" s="21" t="e">
        <f>IF(ISERROR(N7),I19*(D19/1000)*0.747*1.1*(G$10/D$10),L19*$N$7/100)</f>
        <v>#DIV/0!</v>
      </c>
      <c r="P19" s="105"/>
      <c r="Q19" s="97" t="str">
        <f>IF(ISERROR(N8),"未測定",N8)</f>
        <v>未測定</v>
      </c>
      <c r="R19" s="97" t="e">
        <f>IF(N65=1,(L13+L16-N71+G3*(0.5*O38-2.5-L13-L16+N71)),(L13+L16))</f>
        <v>#VALUE!</v>
      </c>
      <c r="S19" s="97">
        <f>IF(N65=1,((0.5*O38-2.5-L13-L16+N71)*(H3-G3)),0)</f>
        <v>0</v>
      </c>
      <c r="T19" s="97">
        <f>L19</f>
      </c>
      <c r="U19" s="97">
        <f>L21</f>
      </c>
      <c r="V19" s="97">
        <f>L23</f>
      </c>
      <c r="W19" s="108">
        <f>L25</f>
      </c>
    </row>
    <row r="20" spans="1:23" ht="18" customHeight="1">
      <c r="A20" s="1"/>
      <c r="B20" s="1"/>
      <c r="C20" s="1"/>
      <c r="D20" s="1"/>
      <c r="E20" s="1"/>
      <c r="F20" s="1"/>
      <c r="G20" s="24"/>
      <c r="H20" s="24"/>
      <c r="I20" s="20"/>
      <c r="J20" s="181" t="s">
        <v>10</v>
      </c>
      <c r="K20" s="175"/>
      <c r="P20" s="105"/>
      <c r="Q20" s="15"/>
      <c r="R20" s="14" t="s">
        <v>147</v>
      </c>
      <c r="S20" s="15"/>
      <c r="T20" s="15"/>
      <c r="U20" s="15"/>
      <c r="V20" s="15"/>
      <c r="W20" s="106"/>
    </row>
    <row r="21" spans="1:23" ht="18" customHeight="1">
      <c r="A21" s="3" t="s">
        <v>74</v>
      </c>
      <c r="B21" s="148" t="s">
        <v>69</v>
      </c>
      <c r="C21" s="149"/>
      <c r="D21" s="127"/>
      <c r="E21" s="1" t="s">
        <v>70</v>
      </c>
      <c r="F21" s="4" t="s">
        <v>71</v>
      </c>
      <c r="G21" s="75"/>
      <c r="H21" s="75"/>
      <c r="I21" s="22" t="e">
        <f>AVERAGE(G21:H21)</f>
        <v>#DIV/0!</v>
      </c>
      <c r="J21" s="73" t="e">
        <f>IF(I21&lt;=3,I21-1,I21)</f>
        <v>#DIV/0!</v>
      </c>
      <c r="K21" s="95"/>
      <c r="L21" s="21">
        <f>IF(ISERROR(N7),"",J21*(D21/1000)*1.205*0.85*((G$10+((D$10*$N$8)/100))/(D$10*$N$7/100)))</f>
      </c>
      <c r="M21" s="21" t="e">
        <f>IF(ISERROR(N7),I21*(D21/1000)*1.205*0.85*(G$10/D$10),L21*$N$7/100)</f>
        <v>#DIV/0!</v>
      </c>
      <c r="P21" s="109"/>
      <c r="Q21" s="94"/>
      <c r="R21" s="94"/>
      <c r="S21" s="94"/>
      <c r="T21" s="94"/>
      <c r="U21" s="94"/>
      <c r="V21" s="94"/>
      <c r="W21" s="107"/>
    </row>
    <row r="22" spans="1:23" ht="18" customHeight="1">
      <c r="A22" s="1"/>
      <c r="B22" s="1"/>
      <c r="C22" s="1"/>
      <c r="D22" s="1"/>
      <c r="E22" s="1"/>
      <c r="F22" s="1"/>
      <c r="G22" s="24"/>
      <c r="H22" s="24"/>
      <c r="I22" s="20"/>
      <c r="P22" s="2"/>
      <c r="Q22" s="2"/>
      <c r="R22" s="2"/>
      <c r="S22" s="2"/>
      <c r="T22" s="2"/>
      <c r="U22" s="2"/>
      <c r="V22" s="2"/>
      <c r="W22" s="2"/>
    </row>
    <row r="23" spans="1:23" ht="18" customHeight="1">
      <c r="A23" s="3" t="s">
        <v>76</v>
      </c>
      <c r="B23" s="148" t="s">
        <v>69</v>
      </c>
      <c r="C23" s="149"/>
      <c r="D23" s="127"/>
      <c r="E23" s="1" t="s">
        <v>70</v>
      </c>
      <c r="F23" s="4" t="s">
        <v>71</v>
      </c>
      <c r="G23" s="75"/>
      <c r="H23" s="75"/>
      <c r="I23" s="22" t="e">
        <f>AVERAGE(G23:H23)</f>
        <v>#DIV/0!</v>
      </c>
      <c r="L23" s="21">
        <f>IF(ISERROR(N7),"",I23*(D23/1000)*1.399*((G$10+((D$10*$N$8)/100))/(D$10*$N$7/100)))</f>
      </c>
      <c r="M23" s="21" t="e">
        <f>IF(ISERROR(N7),I23*(D23/1000)*1.399*(G$10/D$10),L23*$N$7/100)</f>
        <v>#DIV/0!</v>
      </c>
      <c r="P23" s="2"/>
      <c r="Q23" s="2"/>
      <c r="R23" s="2"/>
      <c r="S23" s="2"/>
      <c r="T23" s="2"/>
      <c r="U23" s="2"/>
      <c r="V23" s="2"/>
      <c r="W23" s="2"/>
    </row>
    <row r="24" spans="1:23" ht="18" customHeight="1">
      <c r="A24" s="1"/>
      <c r="B24" s="1"/>
      <c r="C24" s="1"/>
      <c r="D24" s="1"/>
      <c r="E24" s="1"/>
      <c r="F24" s="1"/>
      <c r="G24" s="24"/>
      <c r="H24" s="24"/>
      <c r="I24" s="20"/>
      <c r="P24" s="2"/>
      <c r="Q24" s="2"/>
      <c r="R24" s="2"/>
      <c r="S24" s="2"/>
      <c r="T24" s="2"/>
      <c r="U24" s="2"/>
      <c r="V24" s="2"/>
      <c r="W24" s="2"/>
    </row>
    <row r="25" spans="1:23" ht="18" customHeight="1">
      <c r="A25" s="3" t="s">
        <v>75</v>
      </c>
      <c r="B25" s="148" t="s">
        <v>69</v>
      </c>
      <c r="C25" s="149"/>
      <c r="D25" s="127"/>
      <c r="E25" s="1" t="s">
        <v>70</v>
      </c>
      <c r="F25" s="4" t="s">
        <v>71</v>
      </c>
      <c r="G25" s="75"/>
      <c r="H25" s="75"/>
      <c r="I25" s="22" t="e">
        <f>AVERAGE(G25:H25)</f>
        <v>#DIV/0!</v>
      </c>
      <c r="L25" s="21">
        <f>IF(ISERROR(N7),"",I25*(D25/1000)*1.658*((G$10+((D$10*$N$8)/100))/(D$10*$N$7/100)))</f>
      </c>
      <c r="M25" s="21" t="e">
        <f>IF(ISERROR(N7),I25*(D25/1000)*1.658*(G$10/D$10),L25*$N$7/100)</f>
        <v>#DIV/0!</v>
      </c>
      <c r="P25" s="2"/>
      <c r="Q25" s="2"/>
      <c r="R25" s="2"/>
      <c r="S25" s="2"/>
      <c r="T25" s="2"/>
      <c r="U25" s="2"/>
      <c r="V25" s="2"/>
      <c r="W25" s="2"/>
    </row>
    <row r="26" spans="1:23" ht="21.75" customHeight="1">
      <c r="A26" s="1"/>
      <c r="B26" s="1"/>
      <c r="C26" s="1"/>
      <c r="D26" s="1"/>
      <c r="F26" s="1"/>
      <c r="G26" s="1"/>
      <c r="H26" s="1"/>
      <c r="I26" s="20"/>
      <c r="P26" s="2"/>
      <c r="Q26" s="2"/>
      <c r="R26" s="2"/>
      <c r="S26" s="2"/>
      <c r="T26" s="2"/>
      <c r="U26" s="2"/>
      <c r="V26" s="2"/>
      <c r="W26" s="2"/>
    </row>
    <row r="27" spans="1:16" ht="18" customHeight="1">
      <c r="A27" s="1"/>
      <c r="B27" s="1"/>
      <c r="C27" s="1"/>
      <c r="D27" s="1"/>
      <c r="E27" s="1"/>
      <c r="G27" s="1"/>
      <c r="H27" s="1"/>
      <c r="I27" s="22"/>
      <c r="J27" s="180" t="s">
        <v>198</v>
      </c>
      <c r="K27" s="179" t="s">
        <v>199</v>
      </c>
      <c r="L27" s="178" t="s">
        <v>154</v>
      </c>
      <c r="M27" s="178" t="s">
        <v>200</v>
      </c>
      <c r="N27" s="179" t="s">
        <v>201</v>
      </c>
      <c r="O27" s="1"/>
      <c r="P27" s="1"/>
    </row>
    <row r="28" spans="1:16" ht="18" customHeight="1">
      <c r="A28" s="3" t="s">
        <v>77</v>
      </c>
      <c r="B28" s="148" t="s">
        <v>67</v>
      </c>
      <c r="C28" s="149"/>
      <c r="D28" s="128"/>
      <c r="E28" s="1" t="s">
        <v>211</v>
      </c>
      <c r="G28" s="1" t="s">
        <v>195</v>
      </c>
      <c r="H28" s="23">
        <f>O7</f>
        <v>70</v>
      </c>
      <c r="I28" s="22"/>
      <c r="J28" s="164"/>
      <c r="K28" s="177"/>
      <c r="L28" s="164"/>
      <c r="M28" s="164"/>
      <c r="N28" s="177"/>
      <c r="O28" s="1"/>
      <c r="P28" s="1"/>
    </row>
    <row r="29" spans="1:16" ht="25.5" customHeight="1">
      <c r="A29" s="1"/>
      <c r="B29" s="1"/>
      <c r="C29" s="1"/>
      <c r="D29" s="1"/>
      <c r="E29" s="1"/>
      <c r="G29" s="173" t="s">
        <v>221</v>
      </c>
      <c r="H29" s="173"/>
      <c r="I29" s="22"/>
      <c r="J29" s="163" t="s">
        <v>202</v>
      </c>
      <c r="K29" s="163" t="s">
        <v>155</v>
      </c>
      <c r="L29" s="164"/>
      <c r="M29" s="163" t="s">
        <v>203</v>
      </c>
      <c r="N29" s="176" t="s">
        <v>152</v>
      </c>
      <c r="O29" s="1"/>
      <c r="P29" s="1"/>
    </row>
    <row r="30" spans="1:16" ht="18" customHeight="1">
      <c r="A30" s="3" t="s">
        <v>34</v>
      </c>
      <c r="B30" s="148" t="s">
        <v>79</v>
      </c>
      <c r="C30" s="149"/>
      <c r="D30" s="41">
        <f>M31</f>
        <v>0</v>
      </c>
      <c r="E30" s="1" t="s">
        <v>35</v>
      </c>
      <c r="F30" s="4" t="s">
        <v>81</v>
      </c>
      <c r="G30" s="19"/>
      <c r="H30" s="19"/>
      <c r="I30" s="22" t="e">
        <f>AVERAGE(G30:H30)</f>
        <v>#DIV/0!</v>
      </c>
      <c r="J30" s="164"/>
      <c r="K30" s="164"/>
      <c r="L30" s="164"/>
      <c r="M30" s="164"/>
      <c r="N30" s="177"/>
      <c r="O30" s="1"/>
      <c r="P30" s="1"/>
    </row>
    <row r="31" spans="1:16" ht="18" customHeight="1">
      <c r="A31" s="1"/>
      <c r="B31" s="148" t="s">
        <v>36</v>
      </c>
      <c r="C31" s="149"/>
      <c r="D31" s="42">
        <f>N31</f>
        <v>0</v>
      </c>
      <c r="E31" t="s">
        <v>35</v>
      </c>
      <c r="G31" s="172" t="s">
        <v>220</v>
      </c>
      <c r="H31" s="172"/>
      <c r="I31" s="1"/>
      <c r="J31" s="59">
        <f>750*D28*H28/100/1.5</f>
        <v>0</v>
      </c>
      <c r="K31" s="59">
        <f>J31*0.1</f>
        <v>0</v>
      </c>
      <c r="L31" s="41"/>
      <c r="M31" s="60">
        <f>L31*1.03</f>
        <v>0</v>
      </c>
      <c r="N31" s="59">
        <f>J31*L31</f>
        <v>0</v>
      </c>
      <c r="O31" s="1"/>
      <c r="P31" s="1"/>
    </row>
    <row r="32" spans="1:15" ht="23.25" customHeight="1">
      <c r="A32" s="1"/>
      <c r="B32" s="1"/>
      <c r="C32" s="1"/>
      <c r="D32" s="112" t="s">
        <v>204</v>
      </c>
      <c r="F32" s="1"/>
      <c r="G32" s="1"/>
      <c r="H32" s="1"/>
      <c r="I32" s="1"/>
      <c r="J32" s="1"/>
      <c r="K32" s="14"/>
      <c r="L32" s="171" t="s">
        <v>225</v>
      </c>
      <c r="M32" s="171"/>
      <c r="N32" s="74"/>
      <c r="O32" s="1"/>
    </row>
    <row r="33" spans="1:15" ht="18" customHeight="1">
      <c r="A33" s="1"/>
      <c r="B33" s="1"/>
      <c r="C33" s="1"/>
      <c r="D33" s="1"/>
      <c r="F33" s="1"/>
      <c r="G33" s="1"/>
      <c r="H33" s="1"/>
      <c r="I33" s="2" t="s">
        <v>161</v>
      </c>
      <c r="J33" s="61"/>
      <c r="K33" s="62" t="s">
        <v>37</v>
      </c>
      <c r="L33" s="15"/>
      <c r="M33" s="15"/>
      <c r="N33" s="1"/>
      <c r="O33" s="1"/>
    </row>
    <row r="34" spans="1:15" ht="18" customHeight="1">
      <c r="A34" s="3" t="s">
        <v>82</v>
      </c>
      <c r="B34" s="156" t="s">
        <v>38</v>
      </c>
      <c r="C34" s="157"/>
      <c r="F34" s="4" t="s">
        <v>71</v>
      </c>
      <c r="G34" s="127"/>
      <c r="H34" s="127"/>
      <c r="I34" s="1" t="e">
        <f>AVERAGE(G34:H34)</f>
        <v>#DIV/0!</v>
      </c>
      <c r="J34" s="63" t="s">
        <v>162</v>
      </c>
      <c r="K34" s="88" t="e">
        <f>(I34-K$39)/K$38</f>
        <v>#DIV/0!</v>
      </c>
      <c r="L34" s="1"/>
      <c r="M34" s="165" t="s">
        <v>39</v>
      </c>
      <c r="N34" s="166"/>
      <c r="O34" s="90" t="e">
        <f>K34-K35</f>
        <v>#DIV/0!</v>
      </c>
    </row>
    <row r="35" spans="1:15" ht="18" customHeight="1">
      <c r="A35" s="154"/>
      <c r="B35" s="155"/>
      <c r="C35" s="5" t="s">
        <v>107</v>
      </c>
      <c r="F35" s="71" t="s">
        <v>71</v>
      </c>
      <c r="G35" s="127"/>
      <c r="H35" s="127"/>
      <c r="I35" s="1" t="e">
        <f>AVERAGE(G35:H36)</f>
        <v>#DIV/0!</v>
      </c>
      <c r="J35" s="65" t="s">
        <v>40</v>
      </c>
      <c r="K35" s="89" t="e">
        <f>(I35-K$39)/K$38</f>
        <v>#DIV/0!</v>
      </c>
      <c r="L35" s="1"/>
      <c r="M35" s="167"/>
      <c r="N35" s="168"/>
      <c r="O35" s="66"/>
    </row>
    <row r="36" spans="1:15" ht="18" customHeight="1">
      <c r="A36" s="154"/>
      <c r="B36" s="155"/>
      <c r="C36" s="5" t="s">
        <v>157</v>
      </c>
      <c r="F36" s="71"/>
      <c r="G36" s="127"/>
      <c r="H36" s="127"/>
      <c r="I36" s="1"/>
      <c r="J36" s="1"/>
      <c r="K36" s="1"/>
      <c r="L36" s="1"/>
      <c r="M36" s="1"/>
      <c r="N36" s="1"/>
      <c r="O36" s="1"/>
    </row>
    <row r="37" spans="3:15" ht="18" customHeight="1">
      <c r="C37" s="5" t="s">
        <v>41</v>
      </c>
      <c r="D37" s="129"/>
      <c r="E37" s="6" t="s">
        <v>42</v>
      </c>
      <c r="F37" s="71" t="s">
        <v>71</v>
      </c>
      <c r="G37" s="127"/>
      <c r="H37" s="127"/>
      <c r="I37" s="22">
        <f>IF(D37="","",AVERAGE(G37:H37))</f>
      </c>
      <c r="J37" s="61" t="s">
        <v>158</v>
      </c>
      <c r="K37" s="64"/>
      <c r="L37" s="1"/>
      <c r="M37" s="1"/>
      <c r="N37" s="1"/>
      <c r="O37" s="1"/>
    </row>
    <row r="38" spans="1:15" ht="18" customHeight="1">
      <c r="A38" s="1"/>
      <c r="C38" s="9"/>
      <c r="D38" s="129"/>
      <c r="E38" s="6" t="s">
        <v>43</v>
      </c>
      <c r="F38" s="71" t="s">
        <v>71</v>
      </c>
      <c r="G38" s="127"/>
      <c r="H38" s="127"/>
      <c r="I38" s="22">
        <f>IF(D38="","",AVERAGE(G38:H38))</f>
      </c>
      <c r="J38" s="67" t="s">
        <v>159</v>
      </c>
      <c r="K38" s="68" t="e">
        <f ca="1">SLOPE(OFFSET(I37,,,4,1),OFFSET(D37,,,4,1))</f>
        <v>#DIV/0!</v>
      </c>
      <c r="L38" s="1"/>
      <c r="M38" s="169" t="s">
        <v>184</v>
      </c>
      <c r="N38" s="170"/>
      <c r="O38" s="69" t="e">
        <f>O34*2*25*150/((D28*H28/100)*1000)</f>
        <v>#DIV/0!</v>
      </c>
    </row>
    <row r="39" spans="1:15" ht="18" customHeight="1">
      <c r="A39" s="1"/>
      <c r="C39" s="9"/>
      <c r="D39" s="129"/>
      <c r="E39" s="6" t="s">
        <v>31</v>
      </c>
      <c r="F39" s="71" t="s">
        <v>71</v>
      </c>
      <c r="G39" s="127"/>
      <c r="H39" s="127"/>
      <c r="I39" s="22">
        <f>IF(D39="","",AVERAGE(G39:H39))</f>
      </c>
      <c r="J39" s="67" t="s">
        <v>160</v>
      </c>
      <c r="K39" s="68" t="e">
        <f ca="1">INTERCEPT(OFFSET(I37,,,4,1),OFFSET(D37,,,4,1))</f>
        <v>#DIV/0!</v>
      </c>
      <c r="L39" s="1"/>
      <c r="M39" s="1"/>
      <c r="N39" s="2"/>
      <c r="O39" s="1"/>
    </row>
    <row r="40" spans="1:15" ht="18" customHeight="1">
      <c r="A40" s="1"/>
      <c r="C40" s="9"/>
      <c r="D40" s="129"/>
      <c r="E40" s="6" t="s">
        <v>31</v>
      </c>
      <c r="F40" s="71" t="s">
        <v>71</v>
      </c>
      <c r="G40" s="127"/>
      <c r="H40" s="127"/>
      <c r="I40" s="22">
        <f>IF(D40="","",AVERAGE(G40:H40))</f>
      </c>
      <c r="J40" s="65" t="s">
        <v>44</v>
      </c>
      <c r="K40" s="70" t="e">
        <f ca="1">CORREL(OFFSET(I37,,,4,1),OFFSET(D37,,,4,1))</f>
        <v>#DIV/0!</v>
      </c>
      <c r="L40" s="1"/>
      <c r="M40" s="1"/>
      <c r="N40" s="1"/>
      <c r="O40" s="1"/>
    </row>
    <row r="41" spans="9:15" ht="16.5">
      <c r="I41" s="1"/>
      <c r="J41" s="113"/>
      <c r="K41" s="113"/>
      <c r="L41" s="1"/>
      <c r="M41" s="1"/>
      <c r="N41" s="1"/>
      <c r="O41" s="1"/>
    </row>
    <row r="42" spans="1:16" s="82" customFormat="1" ht="19.5" customHeight="1">
      <c r="A42" s="151"/>
      <c r="B42" s="152"/>
      <c r="C42" s="152"/>
      <c r="D42" s="115"/>
      <c r="E42" s="115"/>
      <c r="F42" s="115"/>
      <c r="G42" s="115"/>
      <c r="H42" s="115"/>
      <c r="I42" s="115"/>
      <c r="J42" s="6"/>
      <c r="K42" s="6"/>
      <c r="L42" s="115"/>
      <c r="M42" s="115"/>
      <c r="N42" s="115"/>
      <c r="O42" s="115"/>
      <c r="P42" s="115"/>
    </row>
    <row r="43" spans="1:16" ht="18" customHeight="1">
      <c r="A43" s="1"/>
      <c r="B43" s="1"/>
      <c r="C43" s="1"/>
      <c r="D43" s="1"/>
      <c r="F43" s="1"/>
      <c r="G43" s="6" t="s">
        <v>45</v>
      </c>
      <c r="H43" s="1"/>
      <c r="I43" s="1"/>
      <c r="J43" s="1"/>
      <c r="K43" s="1"/>
      <c r="L43" s="1"/>
      <c r="M43" s="1"/>
      <c r="N43" s="1"/>
      <c r="O43" s="1"/>
      <c r="P43" s="1"/>
    </row>
    <row r="44" spans="1:16" ht="18" customHeight="1">
      <c r="A44" s="3" t="s">
        <v>190</v>
      </c>
      <c r="B44" s="148" t="s">
        <v>213</v>
      </c>
      <c r="C44" s="149"/>
      <c r="D44" s="76"/>
      <c r="E44" s="1" t="s">
        <v>209</v>
      </c>
      <c r="G44" s="76"/>
      <c r="H44" s="1" t="s">
        <v>209</v>
      </c>
      <c r="I44" s="1"/>
      <c r="J44" s="1" t="s">
        <v>140</v>
      </c>
      <c r="K44" s="1"/>
      <c r="L44" s="1"/>
      <c r="M44" s="1"/>
      <c r="N44" s="1"/>
      <c r="O44" s="1"/>
      <c r="P44" s="1"/>
    </row>
    <row r="45" spans="1:16" ht="18" customHeight="1">
      <c r="A45" s="148" t="s">
        <v>46</v>
      </c>
      <c r="B45" s="148"/>
      <c r="C45" s="150"/>
      <c r="D45" s="76"/>
      <c r="E45" s="1" t="s">
        <v>209</v>
      </c>
      <c r="G45" s="76"/>
      <c r="H45" s="1" t="s">
        <v>209</v>
      </c>
      <c r="I45" s="1"/>
      <c r="J45" s="4" t="s">
        <v>228</v>
      </c>
      <c r="K45" s="77">
        <f>D45-D44</f>
        <v>0</v>
      </c>
      <c r="L45" s="77">
        <f>G45-G44</f>
        <v>0</v>
      </c>
      <c r="M45" s="1"/>
      <c r="N45" s="1" t="s">
        <v>195</v>
      </c>
      <c r="O45" s="1" t="s">
        <v>141</v>
      </c>
      <c r="P45" s="1"/>
    </row>
    <row r="46" spans="1:16" ht="18" customHeight="1">
      <c r="A46" s="1"/>
      <c r="B46" s="148" t="s">
        <v>214</v>
      </c>
      <c r="C46" s="149"/>
      <c r="D46" s="76"/>
      <c r="E46" s="1" t="s">
        <v>47</v>
      </c>
      <c r="G46" s="76"/>
      <c r="H46" s="1" t="s">
        <v>47</v>
      </c>
      <c r="I46" s="1"/>
      <c r="J46" s="4" t="s">
        <v>229</v>
      </c>
      <c r="K46" s="77">
        <f>D46-D44</f>
        <v>0</v>
      </c>
      <c r="L46" s="77">
        <f>G46-G44</f>
        <v>0</v>
      </c>
      <c r="M46" s="1"/>
      <c r="N46" s="22" t="e">
        <f>(K46*K49)/K48/K45*100</f>
        <v>#DIV/0!</v>
      </c>
      <c r="O46" s="22" t="e">
        <f>100-N46</f>
        <v>#DIV/0!</v>
      </c>
      <c r="P46" s="1"/>
    </row>
    <row r="47" spans="1:16" ht="18" customHeight="1">
      <c r="A47" s="1"/>
      <c r="B47" s="148" t="s">
        <v>191</v>
      </c>
      <c r="C47" s="149"/>
      <c r="D47" s="76"/>
      <c r="E47" s="1" t="s">
        <v>209</v>
      </c>
      <c r="G47" s="76"/>
      <c r="H47" s="1" t="s">
        <v>209</v>
      </c>
      <c r="I47" s="1"/>
      <c r="J47" s="1"/>
      <c r="K47" s="1"/>
      <c r="L47" s="1"/>
      <c r="M47" s="1"/>
      <c r="N47" s="22" t="e">
        <f>(L46*L49)/L48/L45*100</f>
        <v>#DIV/0!</v>
      </c>
      <c r="O47" s="22" t="e">
        <f>100-N47</f>
        <v>#DIV/0!</v>
      </c>
      <c r="P47" s="1"/>
    </row>
    <row r="48" spans="1:16" ht="18" customHeight="1">
      <c r="A48" s="1"/>
      <c r="B48" s="148" t="s">
        <v>215</v>
      </c>
      <c r="C48" s="149"/>
      <c r="D48" s="76"/>
      <c r="E48" s="1" t="s">
        <v>47</v>
      </c>
      <c r="G48" s="76"/>
      <c r="H48" s="1" t="s">
        <v>47</v>
      </c>
      <c r="I48" s="1"/>
      <c r="J48" s="4" t="s">
        <v>230</v>
      </c>
      <c r="K48" s="77">
        <f>D48-D47</f>
        <v>0</v>
      </c>
      <c r="L48" s="77">
        <f>G48-G47</f>
        <v>0</v>
      </c>
      <c r="M48" s="4" t="s">
        <v>231</v>
      </c>
      <c r="N48" s="79" t="e">
        <f>IF(G49="",N46,AVERAGE(N46:N47))</f>
        <v>#DIV/0!</v>
      </c>
      <c r="O48" s="79" t="e">
        <f>IF(G49="",O46,AVERAGE(O46:O47))</f>
        <v>#DIV/0!</v>
      </c>
      <c r="P48" s="1"/>
    </row>
    <row r="49" spans="1:16" ht="18" customHeight="1">
      <c r="A49" s="1"/>
      <c r="B49" s="148" t="s">
        <v>193</v>
      </c>
      <c r="C49" s="149"/>
      <c r="D49" s="76"/>
      <c r="E49" s="1" t="s">
        <v>211</v>
      </c>
      <c r="G49" s="76"/>
      <c r="H49" s="1" t="s">
        <v>211</v>
      </c>
      <c r="I49" s="1"/>
      <c r="J49" s="4" t="s">
        <v>139</v>
      </c>
      <c r="K49" s="77">
        <f>D49-D47</f>
        <v>0</v>
      </c>
      <c r="L49" s="77">
        <f>G49-G47</f>
        <v>0</v>
      </c>
      <c r="M49" s="1"/>
      <c r="N49" s="1"/>
      <c r="O49" s="1"/>
      <c r="P49" s="1"/>
    </row>
    <row r="50" spans="1:16" ht="18" customHeight="1">
      <c r="A50" s="1"/>
      <c r="B50" s="1"/>
      <c r="C50" s="1"/>
      <c r="D50" s="1"/>
      <c r="E50" s="1"/>
      <c r="G50" s="6" t="s">
        <v>48</v>
      </c>
      <c r="H50" s="1"/>
      <c r="I50" s="1"/>
      <c r="J50" s="1"/>
      <c r="K50" s="1"/>
      <c r="L50" s="1"/>
      <c r="M50" s="1"/>
      <c r="N50" s="1"/>
      <c r="O50" s="1"/>
      <c r="P50" s="1"/>
    </row>
    <row r="51" spans="1:16" ht="18" customHeight="1">
      <c r="A51" s="3" t="s">
        <v>216</v>
      </c>
      <c r="B51" s="148" t="s">
        <v>233</v>
      </c>
      <c r="C51" s="149"/>
      <c r="D51" s="130"/>
      <c r="E51" s="1" t="s">
        <v>210</v>
      </c>
      <c r="G51" s="130"/>
      <c r="H51" s="1" t="s">
        <v>210</v>
      </c>
      <c r="I51" s="1"/>
      <c r="J51" s="1" t="s">
        <v>237</v>
      </c>
      <c r="K51" s="1"/>
      <c r="L51" s="1"/>
      <c r="M51" s="1"/>
      <c r="N51" s="1" t="s">
        <v>238</v>
      </c>
      <c r="O51" s="1" t="s">
        <v>241</v>
      </c>
      <c r="P51" s="1"/>
    </row>
    <row r="52" spans="1:16" ht="18" customHeight="1">
      <c r="A52" s="182" t="s">
        <v>236</v>
      </c>
      <c r="B52" s="148" t="s">
        <v>234</v>
      </c>
      <c r="C52" s="149"/>
      <c r="D52" s="130"/>
      <c r="E52" s="1" t="s">
        <v>210</v>
      </c>
      <c r="G52" s="130"/>
      <c r="H52" s="1" t="s">
        <v>210</v>
      </c>
      <c r="I52" s="1"/>
      <c r="J52" s="4" t="s">
        <v>138</v>
      </c>
      <c r="K52" s="77">
        <f>D52-D51</f>
        <v>0</v>
      </c>
      <c r="L52" s="77">
        <f>G52-G51</f>
        <v>0</v>
      </c>
      <c r="M52" s="1"/>
      <c r="N52" s="83" t="e">
        <f>K53*1000/(K52*N7/100)</f>
        <v>#DIV/0!</v>
      </c>
      <c r="O52" s="83" t="e">
        <f>L53*1000/(L52*N7/100)</f>
        <v>#DIV/0!</v>
      </c>
      <c r="P52" s="1"/>
    </row>
    <row r="53" spans="1:16" ht="18" customHeight="1">
      <c r="A53" s="182"/>
      <c r="B53" s="148" t="s">
        <v>235</v>
      </c>
      <c r="C53" s="149"/>
      <c r="D53" s="130"/>
      <c r="E53" s="1" t="s">
        <v>49</v>
      </c>
      <c r="G53" s="130"/>
      <c r="H53" s="1" t="s">
        <v>49</v>
      </c>
      <c r="I53" s="1"/>
      <c r="J53" s="4" t="s">
        <v>232</v>
      </c>
      <c r="K53" s="77">
        <f>D53-D51</f>
        <v>0</v>
      </c>
      <c r="L53" s="77">
        <f>G53-G51</f>
        <v>0</v>
      </c>
      <c r="M53" s="1"/>
      <c r="N53" s="4" t="s">
        <v>231</v>
      </c>
      <c r="O53" s="84" t="e">
        <f>IF(G53="",N52,AVERAGE(N52:O52))</f>
        <v>#DIV/0!</v>
      </c>
      <c r="P53" s="1"/>
    </row>
    <row r="54" spans="1:16" ht="18" customHeight="1">
      <c r="A54" s="1"/>
      <c r="B54" s="1"/>
      <c r="C54" s="1"/>
      <c r="D54" s="1"/>
      <c r="E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8" customHeight="1">
      <c r="A55" s="3" t="s">
        <v>77</v>
      </c>
      <c r="B55" s="148"/>
      <c r="C55" s="157"/>
      <c r="D55" s="78"/>
      <c r="E55" s="1"/>
      <c r="G55" s="14"/>
      <c r="H55" s="87"/>
      <c r="I55" s="14"/>
      <c r="J55" s="1"/>
      <c r="K55" s="1"/>
      <c r="L55" s="1"/>
      <c r="M55" s="1"/>
      <c r="N55" s="1"/>
      <c r="O55" s="1"/>
      <c r="P55" s="1"/>
    </row>
    <row r="56" spans="1:16" ht="18" customHeight="1">
      <c r="A56" s="182" t="s">
        <v>11</v>
      </c>
      <c r="B56" s="148" t="s">
        <v>92</v>
      </c>
      <c r="C56" s="149"/>
      <c r="D56" s="76"/>
      <c r="E56" s="1" t="s">
        <v>211</v>
      </c>
      <c r="G56" s="86"/>
      <c r="H56" s="86"/>
      <c r="I56" s="14"/>
      <c r="J56" s="1"/>
      <c r="K56" s="91"/>
      <c r="L56" s="91"/>
      <c r="M56" s="92"/>
      <c r="N56" s="1"/>
      <c r="O56" s="1"/>
      <c r="P56" s="1"/>
    </row>
    <row r="57" spans="1:16" ht="18" customHeight="1">
      <c r="A57" s="182"/>
      <c r="B57" s="148" t="s">
        <v>242</v>
      </c>
      <c r="C57" s="149"/>
      <c r="D57" s="76"/>
      <c r="E57" s="1" t="s">
        <v>50</v>
      </c>
      <c r="G57" s="14"/>
      <c r="H57" s="14"/>
      <c r="I57" s="14"/>
      <c r="J57" s="1" t="s">
        <v>237</v>
      </c>
      <c r="K57" s="1"/>
      <c r="L57" s="1"/>
      <c r="M57" s="1" t="s">
        <v>124</v>
      </c>
      <c r="O57" s="80"/>
      <c r="P57" s="1"/>
    </row>
    <row r="58" spans="1:16" ht="18" customHeight="1">
      <c r="A58" s="148" t="s">
        <v>51</v>
      </c>
      <c r="B58" s="148"/>
      <c r="C58" s="150"/>
      <c r="D58" s="76"/>
      <c r="E58" s="1" t="s">
        <v>52</v>
      </c>
      <c r="G58" s="72"/>
      <c r="H58" s="14"/>
      <c r="I58" s="14"/>
      <c r="J58" s="4" t="s">
        <v>13</v>
      </c>
      <c r="K58" s="77">
        <f>D58-D57</f>
        <v>0</v>
      </c>
      <c r="L58" s="77"/>
      <c r="M58" s="84" t="e">
        <f>1000-((K58-D56-K59)*1000)/(D28*H28/100)-O53</f>
        <v>#DIV/0!</v>
      </c>
      <c r="O58" s="93"/>
      <c r="P58" s="1"/>
    </row>
    <row r="59" spans="1:16" ht="18" customHeight="1">
      <c r="A59" s="148" t="s">
        <v>53</v>
      </c>
      <c r="B59" s="148"/>
      <c r="C59" s="150"/>
      <c r="D59" s="76"/>
      <c r="E59" s="1" t="s">
        <v>210</v>
      </c>
      <c r="G59" s="72"/>
      <c r="H59" s="14"/>
      <c r="I59" s="1"/>
      <c r="J59" s="4" t="s">
        <v>232</v>
      </c>
      <c r="K59" s="77">
        <f>D59-D57</f>
        <v>0</v>
      </c>
      <c r="L59" s="77"/>
      <c r="M59" s="1"/>
      <c r="N59" s="4"/>
      <c r="O59" s="93"/>
      <c r="P59" s="1"/>
    </row>
    <row r="60" spans="1:16" ht="18" customHeight="1">
      <c r="A60" s="4"/>
      <c r="B60" s="4"/>
      <c r="C60" s="13"/>
      <c r="D60" s="78"/>
      <c r="E60" s="1"/>
      <c r="G60" s="72"/>
      <c r="H60" s="14"/>
      <c r="I60" s="1"/>
      <c r="J60" s="1"/>
      <c r="K60" s="1"/>
      <c r="L60" s="1"/>
      <c r="M60" s="1"/>
      <c r="N60" s="1"/>
      <c r="O60" s="1"/>
      <c r="P60" s="1"/>
    </row>
    <row r="61" spans="1:16" ht="18" customHeight="1">
      <c r="A61" s="3"/>
      <c r="B61" s="4"/>
      <c r="C61" s="14"/>
      <c r="D61" s="78"/>
      <c r="E61" s="1"/>
      <c r="G61" s="1"/>
      <c r="H61" s="1"/>
      <c r="I61" s="2" t="s">
        <v>161</v>
      </c>
      <c r="J61" s="1" t="s">
        <v>128</v>
      </c>
      <c r="K61" s="1" t="s">
        <v>240</v>
      </c>
      <c r="M61" s="155" t="s">
        <v>91</v>
      </c>
      <c r="N61" s="152"/>
      <c r="O61" s="152"/>
      <c r="P61" s="1"/>
    </row>
    <row r="62" spans="1:16" ht="18" customHeight="1">
      <c r="A62" s="3" t="s">
        <v>218</v>
      </c>
      <c r="B62" s="156" t="s">
        <v>54</v>
      </c>
      <c r="C62" s="157"/>
      <c r="D62" s="148" t="s">
        <v>55</v>
      </c>
      <c r="E62" s="150"/>
      <c r="F62" s="76"/>
      <c r="G62" s="76"/>
      <c r="H62" s="77"/>
      <c r="I62" s="77" t="e">
        <f>AVERAGE(F62:G62)</f>
        <v>#DIV/0!</v>
      </c>
      <c r="J62" s="77" t="e">
        <f>I62-I63</f>
        <v>#DIV/0!</v>
      </c>
      <c r="K62" s="80" t="s">
        <v>181</v>
      </c>
      <c r="M62" s="1" t="s">
        <v>56</v>
      </c>
      <c r="N62" s="1" t="s">
        <v>57</v>
      </c>
      <c r="O62" s="1" t="s">
        <v>146</v>
      </c>
      <c r="P62" s="1"/>
    </row>
    <row r="63" spans="1:16" ht="18" customHeight="1">
      <c r="A63" s="154"/>
      <c r="B63" s="155"/>
      <c r="C63" s="5" t="s">
        <v>58</v>
      </c>
      <c r="D63" s="161" t="s">
        <v>55</v>
      </c>
      <c r="E63" s="162"/>
      <c r="F63" s="76"/>
      <c r="G63" s="76"/>
      <c r="H63" s="76"/>
      <c r="I63" s="77" t="e">
        <f>AVERAGE(F63:H63)</f>
        <v>#DIV/0!</v>
      </c>
      <c r="J63" s="1"/>
      <c r="K63" s="84" t="e">
        <f>IF(F64="",J62/0.05*150*0.26/(D28*H28/100),1.226*J62/0.05*150/(D28*H28/100)/(J64*1000/135))</f>
        <v>#DIV/0!</v>
      </c>
      <c r="M63" s="114" t="e">
        <f>I30</f>
        <v>#DIV/0!</v>
      </c>
      <c r="N63" s="83" t="e">
        <f>K63</f>
        <v>#DIV/0!</v>
      </c>
      <c r="O63" s="83" t="e">
        <f>M58</f>
        <v>#DIV/0!</v>
      </c>
      <c r="P63" s="1"/>
    </row>
    <row r="64" spans="1:16" ht="18" customHeight="1">
      <c r="A64" s="154"/>
      <c r="B64" s="155"/>
      <c r="C64" s="5" t="s">
        <v>108</v>
      </c>
      <c r="D64" s="161" t="s">
        <v>55</v>
      </c>
      <c r="E64" s="162"/>
      <c r="F64" s="76"/>
      <c r="G64" s="76"/>
      <c r="H64" s="77"/>
      <c r="I64" s="77" t="e">
        <f>AVERAGE(F64:G64)</f>
        <v>#DIV/0!</v>
      </c>
      <c r="J64" s="77" t="e">
        <f>I64-I63</f>
        <v>#DIV/0!</v>
      </c>
      <c r="K64" s="1"/>
      <c r="L64" s="1"/>
      <c r="M64" s="1">
        <f>IF(ISERROR(M63),0,M63)</f>
        <v>0</v>
      </c>
      <c r="N64" s="1">
        <f>IF(ISERROR(N63),0,N63)</f>
        <v>0</v>
      </c>
      <c r="O64" s="1">
        <f>IF(ISERROR(O63),0,O63)</f>
        <v>0</v>
      </c>
      <c r="P64" s="1"/>
    </row>
    <row r="65" spans="9:16" ht="16.5">
      <c r="I65" s="1"/>
      <c r="J65" s="1"/>
      <c r="K65" s="1"/>
      <c r="L65" s="1"/>
      <c r="N65" s="98">
        <f>IF(OR((O64&gt;=250),AND(O64=0,N64&gt;=230),AND(O64=0,N64=0,M64&gt;=6)),1,0)</f>
        <v>0</v>
      </c>
      <c r="P65" s="1"/>
    </row>
    <row r="66" spans="7:16" ht="16.5">
      <c r="G66" s="81"/>
      <c r="H66" s="73"/>
      <c r="I66" s="1"/>
      <c r="J66" s="1"/>
      <c r="K66" s="1"/>
      <c r="L66" s="1"/>
      <c r="N66" s="110" t="s">
        <v>24</v>
      </c>
      <c r="P66" s="1"/>
    </row>
    <row r="67" spans="9:16" ht="16.5">
      <c r="I67" s="1"/>
      <c r="J67" s="1"/>
      <c r="K67" s="1"/>
      <c r="L67" s="1"/>
      <c r="M67" s="197" t="s">
        <v>6</v>
      </c>
      <c r="N67" s="197"/>
      <c r="O67" s="197"/>
      <c r="P67" s="1"/>
    </row>
    <row r="68" spans="9:16" ht="16.5">
      <c r="I68" s="1"/>
      <c r="J68" s="1"/>
      <c r="K68" s="1"/>
      <c r="L68" s="1"/>
      <c r="M68" s="1" t="s">
        <v>56</v>
      </c>
      <c r="N68" s="1" t="s">
        <v>57</v>
      </c>
      <c r="O68" s="1" t="s">
        <v>146</v>
      </c>
      <c r="P68" s="1"/>
    </row>
    <row r="69" spans="9:16" ht="16.5">
      <c r="I69" s="1"/>
      <c r="J69" s="1"/>
      <c r="K69" s="1"/>
      <c r="L69" s="1"/>
      <c r="M69" s="114">
        <f>IF(ISERROR(I30),"",I30)</f>
      </c>
      <c r="N69" s="83" t="e">
        <f>K63</f>
        <v>#DIV/0!</v>
      </c>
      <c r="O69" s="83" t="e">
        <f>M58</f>
        <v>#DIV/0!</v>
      </c>
      <c r="P69" s="1"/>
    </row>
    <row r="70" spans="9:16" ht="16.5">
      <c r="I70" s="1"/>
      <c r="J70" s="1"/>
      <c r="K70" s="1"/>
      <c r="L70" s="1"/>
      <c r="M70" s="1">
        <f>IF(M69="",6,(IF(M69&lt;6,0,(IF(M69&lt;8,3,5)))))</f>
        <v>6</v>
      </c>
      <c r="N70" s="131" t="e">
        <f>IF(ISERROR(N69),N69,N69*0.02-3)</f>
        <v>#DIV/0!</v>
      </c>
      <c r="O70" s="131" t="e">
        <f>IF(ISERROR(O69),O69,O69*0.02-3)</f>
        <v>#DIV/0!</v>
      </c>
      <c r="P70" s="1"/>
    </row>
    <row r="71" spans="9:16" ht="16.5">
      <c r="I71" s="1"/>
      <c r="J71" s="1"/>
      <c r="K71" s="1"/>
      <c r="L71" s="1"/>
      <c r="M71" s="4" t="s">
        <v>7</v>
      </c>
      <c r="N71" s="132">
        <f>IF(N65=0,0,(IF(ISERROR(O70),(IF(ISERROR(N70),M70,N70)),O70)))</f>
        <v>0</v>
      </c>
      <c r="O71" s="112"/>
      <c r="P71" s="1"/>
    </row>
    <row r="72" spans="9:16" ht="16.5">
      <c r="I72" s="1"/>
      <c r="J72" s="1"/>
      <c r="K72" s="1"/>
      <c r="L72" s="1"/>
      <c r="M72" s="198" t="s">
        <v>83</v>
      </c>
      <c r="N72" s="198"/>
      <c r="O72" s="198"/>
      <c r="P72" s="1"/>
    </row>
    <row r="73" spans="9:16" ht="19.5" customHeight="1">
      <c r="I73" s="1"/>
      <c r="J73" s="1"/>
      <c r="K73" s="1"/>
      <c r="L73" s="1"/>
      <c r="M73" s="198"/>
      <c r="N73" s="198"/>
      <c r="O73" s="198"/>
      <c r="P73" s="1"/>
    </row>
    <row r="74" spans="1:16" ht="16.5">
      <c r="A74" s="1"/>
      <c r="B74" s="1"/>
      <c r="C74" s="1"/>
      <c r="D74" s="1"/>
      <c r="E74" s="1"/>
      <c r="G74" s="1"/>
      <c r="H74" s="1"/>
      <c r="I74" s="1"/>
      <c r="J74" s="1"/>
      <c r="K74" s="1"/>
      <c r="L74" s="1"/>
      <c r="M74" s="198"/>
      <c r="N74" s="198"/>
      <c r="O74" s="198"/>
      <c r="P74" s="1"/>
    </row>
    <row r="75" spans="9:16" ht="16.5">
      <c r="I75" s="1"/>
      <c r="J75" s="1"/>
      <c r="K75" s="1"/>
      <c r="L75" s="1"/>
      <c r="M75" s="198"/>
      <c r="N75" s="198"/>
      <c r="O75" s="198"/>
      <c r="P75" s="1"/>
    </row>
    <row r="76" spans="9:16" ht="16.5">
      <c r="I76" s="1"/>
      <c r="J76" s="1"/>
      <c r="K76" s="1"/>
      <c r="L76" s="1"/>
      <c r="M76" s="198"/>
      <c r="N76" s="198"/>
      <c r="O76" s="198"/>
      <c r="P76" s="1"/>
    </row>
    <row r="77" spans="9:16" ht="16.5">
      <c r="I77" s="1"/>
      <c r="J77" s="1"/>
      <c r="K77" s="1"/>
      <c r="L77" s="1"/>
      <c r="M77" s="1"/>
      <c r="N77" s="1"/>
      <c r="O77" s="1"/>
      <c r="P77" s="1"/>
    </row>
    <row r="78" spans="9:16" ht="16.5">
      <c r="I78" s="1"/>
      <c r="J78" s="1"/>
      <c r="K78" s="1"/>
      <c r="L78" s="1"/>
      <c r="M78" s="1"/>
      <c r="N78" s="1"/>
      <c r="O78" s="1"/>
      <c r="P78" s="1"/>
    </row>
    <row r="79" spans="9:16" ht="16.5">
      <c r="I79" s="1"/>
      <c r="J79" s="1"/>
      <c r="K79" s="1"/>
      <c r="L79" s="1"/>
      <c r="M79" s="1"/>
      <c r="N79" s="1"/>
      <c r="O79" s="1"/>
      <c r="P79" s="1"/>
    </row>
    <row r="80" spans="9:16" ht="16.5">
      <c r="I80" s="1"/>
      <c r="J80" s="1"/>
      <c r="K80" s="1"/>
      <c r="L80" s="1"/>
      <c r="M80" s="1"/>
      <c r="N80" s="1"/>
      <c r="O80" s="1"/>
      <c r="P80" s="1"/>
    </row>
    <row r="81" spans="9:16" ht="16.5">
      <c r="I81" s="1"/>
      <c r="J81" s="1"/>
      <c r="K81" s="1"/>
      <c r="L81" s="1"/>
      <c r="M81" s="1"/>
      <c r="N81" s="1"/>
      <c r="O81" s="1"/>
      <c r="P81" s="1"/>
    </row>
    <row r="82" spans="9:16" ht="16.5">
      <c r="I82" s="1"/>
      <c r="J82" s="1"/>
      <c r="K82" s="1"/>
      <c r="L82" s="1"/>
      <c r="M82" s="1"/>
      <c r="N82" s="1"/>
      <c r="O82" s="1"/>
      <c r="P82" s="1"/>
    </row>
    <row r="83" spans="9:16" ht="16.5">
      <c r="I83" s="1"/>
      <c r="J83" s="1"/>
      <c r="K83" s="1"/>
      <c r="L83" s="1"/>
      <c r="M83" s="1"/>
      <c r="N83" s="1"/>
      <c r="O83" s="1"/>
      <c r="P83" s="1"/>
    </row>
    <row r="84" spans="9:16" ht="16.5">
      <c r="I84" s="1"/>
      <c r="J84" s="1"/>
      <c r="K84" s="1"/>
      <c r="L84" s="1"/>
      <c r="M84" s="1"/>
      <c r="N84" s="1"/>
      <c r="O84" s="1"/>
      <c r="P84" s="1"/>
    </row>
    <row r="85" spans="9:16" ht="16.5">
      <c r="I85" s="1"/>
      <c r="J85" s="1"/>
      <c r="K85" s="1"/>
      <c r="L85" s="1"/>
      <c r="M85" s="1"/>
      <c r="N85" s="1"/>
      <c r="O85" s="1"/>
      <c r="P85" s="1"/>
    </row>
    <row r="86" spans="9:16" ht="16.5">
      <c r="I86" s="1"/>
      <c r="J86" s="1"/>
      <c r="K86" s="1"/>
      <c r="L86" s="1"/>
      <c r="M86" s="1"/>
      <c r="N86" s="1"/>
      <c r="O86" s="1"/>
      <c r="P86" s="1"/>
    </row>
    <row r="87" spans="9:16" ht="16.5">
      <c r="I87" s="1"/>
      <c r="J87" s="1"/>
      <c r="K87" s="1"/>
      <c r="L87" s="1"/>
      <c r="M87" s="1"/>
      <c r="N87" s="1"/>
      <c r="O87" s="1"/>
      <c r="P87" s="1"/>
    </row>
    <row r="88" spans="9:16" ht="16.5">
      <c r="I88" s="1"/>
      <c r="J88" s="1"/>
      <c r="K88" s="1"/>
      <c r="L88" s="1"/>
      <c r="M88" s="1"/>
      <c r="N88" s="1"/>
      <c r="O88" s="1"/>
      <c r="P88" s="1"/>
    </row>
    <row r="89" spans="9:16" ht="16.5">
      <c r="I89" s="1"/>
      <c r="J89" s="1"/>
      <c r="K89" s="1"/>
      <c r="L89" s="1"/>
      <c r="M89" s="1"/>
      <c r="N89" s="1"/>
      <c r="O89" s="1"/>
      <c r="P89" s="1"/>
    </row>
    <row r="90" spans="9:16" ht="16.5">
      <c r="I90" s="1"/>
      <c r="J90" s="1"/>
      <c r="K90" s="1"/>
      <c r="L90" s="1"/>
      <c r="M90" s="1"/>
      <c r="N90" s="1"/>
      <c r="O90" s="1"/>
      <c r="P90" s="1"/>
    </row>
    <row r="91" spans="9:16" ht="16.5">
      <c r="I91" s="1"/>
      <c r="J91" s="1"/>
      <c r="K91" s="1"/>
      <c r="L91" s="1"/>
      <c r="M91" s="1"/>
      <c r="N91" s="1"/>
      <c r="O91" s="1"/>
      <c r="P91" s="1"/>
    </row>
    <row r="92" spans="9:16" ht="16.5">
      <c r="I92" s="1"/>
      <c r="J92" s="1"/>
      <c r="K92" s="1"/>
      <c r="L92" s="1"/>
      <c r="M92" s="1"/>
      <c r="N92" s="1"/>
      <c r="O92" s="1"/>
      <c r="P92" s="1"/>
    </row>
    <row r="93" spans="9:16" ht="16.5">
      <c r="I93" s="1"/>
      <c r="J93" s="1"/>
      <c r="K93" s="1"/>
      <c r="L93" s="1"/>
      <c r="M93" s="1"/>
      <c r="N93" s="1"/>
      <c r="O93" s="1"/>
      <c r="P93" s="1"/>
    </row>
    <row r="94" spans="9:16" ht="16.5">
      <c r="I94" s="1"/>
      <c r="J94" s="1"/>
      <c r="K94" s="1"/>
      <c r="L94" s="1"/>
      <c r="M94" s="1"/>
      <c r="N94" s="1"/>
      <c r="O94" s="1"/>
      <c r="P94" s="1"/>
    </row>
    <row r="95" spans="9:16" ht="16.5">
      <c r="I95" s="1"/>
      <c r="J95" s="1"/>
      <c r="K95" s="1"/>
      <c r="L95" s="1"/>
      <c r="M95" s="1"/>
      <c r="N95" s="1"/>
      <c r="O95" s="1"/>
      <c r="P95" s="1"/>
    </row>
    <row r="96" spans="9:10" ht="16.5">
      <c r="I96" s="1"/>
      <c r="J96" s="1"/>
    </row>
  </sheetData>
  <mergeCells count="86">
    <mergeCell ref="M67:O67"/>
    <mergeCell ref="M72:O76"/>
    <mergeCell ref="M61:O61"/>
    <mergeCell ref="N29:N30"/>
    <mergeCell ref="M34:N35"/>
    <mergeCell ref="M27:M28"/>
    <mergeCell ref="N27:N28"/>
    <mergeCell ref="L27:L30"/>
    <mergeCell ref="M29:M30"/>
    <mergeCell ref="M38:N38"/>
    <mergeCell ref="L32:M32"/>
    <mergeCell ref="M5:O6"/>
    <mergeCell ref="G31:H31"/>
    <mergeCell ref="G29:H29"/>
    <mergeCell ref="J15:K15"/>
    <mergeCell ref="J11:K11"/>
    <mergeCell ref="J27:J28"/>
    <mergeCell ref="K27:K28"/>
    <mergeCell ref="K29:K30"/>
    <mergeCell ref="J29:J30"/>
    <mergeCell ref="J20:K20"/>
    <mergeCell ref="D62:E62"/>
    <mergeCell ref="D63:E63"/>
    <mergeCell ref="B57:C57"/>
    <mergeCell ref="D64:E64"/>
    <mergeCell ref="A63:B63"/>
    <mergeCell ref="B62:C62"/>
    <mergeCell ref="A64:B64"/>
    <mergeCell ref="A56:A57"/>
    <mergeCell ref="B51:C51"/>
    <mergeCell ref="B52:C52"/>
    <mergeCell ref="B53:C53"/>
    <mergeCell ref="B55:C55"/>
    <mergeCell ref="B56:C56"/>
    <mergeCell ref="E4:G4"/>
    <mergeCell ref="B23:C23"/>
    <mergeCell ref="B12:C12"/>
    <mergeCell ref="G5:H5"/>
    <mergeCell ref="A42:C42"/>
    <mergeCell ref="B3:C3"/>
    <mergeCell ref="B4:C4"/>
    <mergeCell ref="B6:C6"/>
    <mergeCell ref="B7:C7"/>
    <mergeCell ref="B10:C10"/>
    <mergeCell ref="B34:C34"/>
    <mergeCell ref="B31:C31"/>
    <mergeCell ref="B19:C19"/>
    <mergeCell ref="B21:C21"/>
    <mergeCell ref="B47:C47"/>
    <mergeCell ref="B48:C48"/>
    <mergeCell ref="B49:C49"/>
    <mergeCell ref="A59:C59"/>
    <mergeCell ref="B44:C44"/>
    <mergeCell ref="A35:B35"/>
    <mergeCell ref="B46:C46"/>
    <mergeCell ref="A45:C45"/>
    <mergeCell ref="A52:A53"/>
    <mergeCell ref="A58:C58"/>
    <mergeCell ref="T4:V4"/>
    <mergeCell ref="V5:W5"/>
    <mergeCell ref="A1:H1"/>
    <mergeCell ref="A36:B36"/>
    <mergeCell ref="B28:C28"/>
    <mergeCell ref="B30:C30"/>
    <mergeCell ref="B25:C25"/>
    <mergeCell ref="B8:C8"/>
    <mergeCell ref="B16:C16"/>
    <mergeCell ref="P1:W1"/>
    <mergeCell ref="Q3:R3"/>
    <mergeCell ref="Q4:R4"/>
    <mergeCell ref="Q16:Q17"/>
    <mergeCell ref="R16:S16"/>
    <mergeCell ref="R8:S8"/>
    <mergeCell ref="R10:W10"/>
    <mergeCell ref="Q8:Q9"/>
    <mergeCell ref="T8:T9"/>
    <mergeCell ref="U8:U9"/>
    <mergeCell ref="V8:V9"/>
    <mergeCell ref="R18:W18"/>
    <mergeCell ref="R7:U7"/>
    <mergeCell ref="R15:U15"/>
    <mergeCell ref="T16:T17"/>
    <mergeCell ref="U16:U17"/>
    <mergeCell ref="V16:V17"/>
    <mergeCell ref="W16:W17"/>
    <mergeCell ref="W8:W9"/>
  </mergeCells>
  <printOptions/>
  <pageMargins left="0.6" right="0.55" top="0.85" bottom="1" header="0.512" footer="0.51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5"/>
  <sheetViews>
    <sheetView workbookViewId="0" topLeftCell="A1">
      <selection activeCell="R3" sqref="R3"/>
    </sheetView>
  </sheetViews>
  <sheetFormatPr defaultColWidth="13.375" defaultRowHeight="13.5"/>
  <cols>
    <col min="1" max="20" width="9.50390625" style="0" customWidth="1"/>
  </cols>
  <sheetData>
    <row r="1" ht="126.75" customHeight="1"/>
    <row r="2" spans="1:20" ht="16.5">
      <c r="A2" s="25"/>
      <c r="B2" s="199" t="s">
        <v>2</v>
      </c>
      <c r="C2" s="199"/>
      <c r="D2" s="199"/>
      <c r="E2" s="180"/>
      <c r="F2" s="199" t="s">
        <v>0</v>
      </c>
      <c r="G2" s="199"/>
      <c r="H2" s="199"/>
      <c r="I2" s="199" t="s">
        <v>1</v>
      </c>
      <c r="J2" s="199"/>
      <c r="K2" s="199"/>
      <c r="L2" s="199" t="s">
        <v>3</v>
      </c>
      <c r="M2" s="199"/>
      <c r="N2" s="199"/>
      <c r="O2" s="199" t="s">
        <v>4</v>
      </c>
      <c r="P2" s="199"/>
      <c r="Q2" s="199"/>
      <c r="R2" s="199" t="s">
        <v>5</v>
      </c>
      <c r="S2" s="199"/>
      <c r="T2" s="199"/>
    </row>
    <row r="3" spans="1:20" ht="16.5">
      <c r="A3" s="43" t="s">
        <v>164</v>
      </c>
      <c r="B3" s="44" t="s">
        <v>165</v>
      </c>
      <c r="C3" s="45" t="s">
        <v>166</v>
      </c>
      <c r="D3" s="45" t="s">
        <v>167</v>
      </c>
      <c r="E3" s="46" t="s">
        <v>168</v>
      </c>
      <c r="F3" s="44" t="s">
        <v>165</v>
      </c>
      <c r="G3" s="45" t="s">
        <v>166</v>
      </c>
      <c r="H3" s="46" t="s">
        <v>167</v>
      </c>
      <c r="I3" s="44" t="s">
        <v>165</v>
      </c>
      <c r="J3" s="45" t="s">
        <v>166</v>
      </c>
      <c r="K3" s="46" t="s">
        <v>167</v>
      </c>
      <c r="L3" s="44" t="s">
        <v>165</v>
      </c>
      <c r="M3" s="45" t="s">
        <v>166</v>
      </c>
      <c r="N3" s="46" t="s">
        <v>167</v>
      </c>
      <c r="O3" s="44" t="s">
        <v>165</v>
      </c>
      <c r="P3" s="45" t="s">
        <v>166</v>
      </c>
      <c r="Q3" s="46" t="s">
        <v>167</v>
      </c>
      <c r="R3" s="44" t="s">
        <v>165</v>
      </c>
      <c r="S3" s="45" t="s">
        <v>166</v>
      </c>
      <c r="T3" s="46" t="s">
        <v>167</v>
      </c>
    </row>
    <row r="4" spans="1:20" ht="16.5">
      <c r="A4" s="47" t="s">
        <v>169</v>
      </c>
      <c r="B4" s="48">
        <v>0.0726623176348501</v>
      </c>
      <c r="C4" s="49">
        <v>0.1398208361799154</v>
      </c>
      <c r="D4" s="49">
        <v>0.20223560288738743</v>
      </c>
      <c r="E4" s="50">
        <v>0.28981900482706924</v>
      </c>
      <c r="F4" s="48">
        <v>0.07201050874232284</v>
      </c>
      <c r="G4" s="49">
        <v>0.13955212747461976</v>
      </c>
      <c r="H4" s="50">
        <v>0.21134650612432346</v>
      </c>
      <c r="I4" s="48">
        <v>0.10318045125375416</v>
      </c>
      <c r="J4" s="49">
        <v>0.20621251811796207</v>
      </c>
      <c r="K4" s="50">
        <v>0.32501641869099124</v>
      </c>
      <c r="L4" s="48">
        <v>0.09769244747515268</v>
      </c>
      <c r="M4" s="49">
        <v>0.19203208025037194</v>
      </c>
      <c r="N4" s="50">
        <v>0.3032813548484961</v>
      </c>
      <c r="O4" s="48">
        <v>0.11359581613706315</v>
      </c>
      <c r="P4" s="49">
        <v>0.2262209909005182</v>
      </c>
      <c r="Q4" s="50">
        <v>0.34399322183927483</v>
      </c>
      <c r="R4" s="48">
        <v>0.13361096906190542</v>
      </c>
      <c r="S4" s="49">
        <v>0.268853858653733</v>
      </c>
      <c r="T4" s="50">
        <v>0.40936766074934083</v>
      </c>
    </row>
    <row r="5" spans="1:20" ht="16.5">
      <c r="A5" s="47" t="s">
        <v>170</v>
      </c>
      <c r="B5" s="48">
        <v>0.07126420933386154</v>
      </c>
      <c r="C5" s="49">
        <v>0.13747887577751014</v>
      </c>
      <c r="D5" s="49">
        <v>0.23268845382686615</v>
      </c>
      <c r="E5" s="50">
        <v>0.3845657328139898</v>
      </c>
      <c r="F5" s="48">
        <v>0.07166799396518653</v>
      </c>
      <c r="G5" s="49">
        <v>0.1489753683195813</v>
      </c>
      <c r="H5" s="50">
        <v>0.2862248244828707</v>
      </c>
      <c r="I5" s="48">
        <v>0.11270026858304388</v>
      </c>
      <c r="J5" s="49">
        <v>0.2442651984444115</v>
      </c>
      <c r="K5" s="50">
        <v>0.3959964893115431</v>
      </c>
      <c r="L5" s="48">
        <v>0.10296543311830719</v>
      </c>
      <c r="M5" s="49">
        <v>0.22501824569791773</v>
      </c>
      <c r="N5" s="50">
        <v>0.3902244502555849</v>
      </c>
      <c r="O5" s="48">
        <v>0.12482111764747658</v>
      </c>
      <c r="P5" s="49">
        <v>0.2562412354261877</v>
      </c>
      <c r="Q5" s="50">
        <v>0.41440044931484676</v>
      </c>
      <c r="R5" s="48">
        <v>0.15308787766036475</v>
      </c>
      <c r="S5" s="49">
        <v>0.31181710054773615</v>
      </c>
      <c r="T5" s="50">
        <v>0.48769939596502887</v>
      </c>
    </row>
    <row r="6" spans="1:20" ht="16.5">
      <c r="A6" s="47" t="s">
        <v>171</v>
      </c>
      <c r="B6" s="48">
        <v>0.07031415162256735</v>
      </c>
      <c r="C6" s="49">
        <v>0.16607504058439582</v>
      </c>
      <c r="D6" s="49">
        <v>0.3229788225278063</v>
      </c>
      <c r="E6" s="50">
        <v>0.5438244924948306</v>
      </c>
      <c r="F6" s="48">
        <v>0.079856907687961</v>
      </c>
      <c r="G6" s="49">
        <v>0.21966697075668104</v>
      </c>
      <c r="H6" s="50">
        <v>0.41814717330982853</v>
      </c>
      <c r="I6" s="51">
        <v>0.14062697799604645</v>
      </c>
      <c r="J6" s="52">
        <v>0.3057130505140415</v>
      </c>
      <c r="K6" s="53">
        <v>0.5025880424683303</v>
      </c>
      <c r="L6" s="51">
        <v>0.13039497497485772</v>
      </c>
      <c r="M6" s="52">
        <v>0.30575220058810537</v>
      </c>
      <c r="N6" s="53">
        <v>0.5188233568304513</v>
      </c>
      <c r="O6" s="51">
        <v>0.14206610684189852</v>
      </c>
      <c r="P6" s="52">
        <v>0.31593375975647664</v>
      </c>
      <c r="Q6" s="53">
        <v>0.5203203898376061</v>
      </c>
      <c r="R6" s="51">
        <v>0.1769160693334272</v>
      </c>
      <c r="S6" s="52">
        <v>0.3756932994578487</v>
      </c>
      <c r="T6" s="53">
        <v>0.5968957148387015</v>
      </c>
    </row>
    <row r="7" spans="1:20" ht="16.5">
      <c r="A7" s="47" t="s">
        <v>172</v>
      </c>
      <c r="B7" s="51">
        <v>0.10448842576279649</v>
      </c>
      <c r="C7" s="52">
        <v>0.2721118348915298</v>
      </c>
      <c r="D7" s="52">
        <v>0.5075452297082174</v>
      </c>
      <c r="E7" s="53">
        <v>0.7043406581919665</v>
      </c>
      <c r="F7" s="51">
        <v>0.15253952063093823</v>
      </c>
      <c r="G7" s="52">
        <v>0.3673168743492411</v>
      </c>
      <c r="H7" s="53">
        <v>0.5997158176284801</v>
      </c>
      <c r="I7" s="51">
        <v>0.18763741056143007</v>
      </c>
      <c r="J7" s="52">
        <v>0.4107260765956028</v>
      </c>
      <c r="K7" s="53">
        <v>0.6251080629718958</v>
      </c>
      <c r="L7" s="51">
        <v>0.19882079235353137</v>
      </c>
      <c r="M7" s="52">
        <v>0.43755537301850456</v>
      </c>
      <c r="N7" s="53">
        <v>0.6634899608154767</v>
      </c>
      <c r="O7" s="51">
        <v>0.19758922956975816</v>
      </c>
      <c r="P7" s="52">
        <v>0.43009181204450675</v>
      </c>
      <c r="Q7" s="53">
        <v>0.6627760105705105</v>
      </c>
      <c r="R7" s="51">
        <v>0.23308054923629</v>
      </c>
      <c r="S7" s="52">
        <v>0.4933055864616358</v>
      </c>
      <c r="T7" s="53">
        <v>0.7335436778956195</v>
      </c>
    </row>
    <row r="8" spans="1:20" ht="16.5">
      <c r="A8" s="47" t="s">
        <v>173</v>
      </c>
      <c r="B8" s="51">
        <v>0.18291326436438868</v>
      </c>
      <c r="C8" s="52">
        <v>0.4398218370401634</v>
      </c>
      <c r="D8" s="52">
        <v>0.6545680614670044</v>
      </c>
      <c r="E8" s="53">
        <v>0.8284824995537782</v>
      </c>
      <c r="F8" s="51">
        <v>0.24462994084509096</v>
      </c>
      <c r="G8" s="52">
        <v>0.509330751999638</v>
      </c>
      <c r="H8" s="53">
        <v>0.7419104758336645</v>
      </c>
      <c r="I8" s="51">
        <v>0.26249120151161043</v>
      </c>
      <c r="J8" s="52">
        <v>0.5147379255909902</v>
      </c>
      <c r="K8" s="53">
        <v>0.7191179082537934</v>
      </c>
      <c r="L8" s="51">
        <v>0.2838890111795096</v>
      </c>
      <c r="M8" s="52">
        <v>0.5525570296218967</v>
      </c>
      <c r="N8" s="53">
        <v>0.806567416186825</v>
      </c>
      <c r="O8" s="51">
        <v>0.2761547451425479</v>
      </c>
      <c r="P8" s="52">
        <v>0.5525252045959401</v>
      </c>
      <c r="Q8" s="53">
        <v>0.7878817051402289</v>
      </c>
      <c r="R8" s="51">
        <v>0.31986928393138203</v>
      </c>
      <c r="S8" s="52">
        <v>0.6151705627759897</v>
      </c>
      <c r="T8" s="53">
        <v>0.8508342548086947</v>
      </c>
    </row>
    <row r="9" spans="1:20" ht="16.5">
      <c r="A9" s="47" t="s">
        <v>174</v>
      </c>
      <c r="B9" s="51">
        <v>0.3024727378603681</v>
      </c>
      <c r="C9" s="52">
        <v>0.5541106086671331</v>
      </c>
      <c r="D9" s="52">
        <v>0.7582075297306856</v>
      </c>
      <c r="E9" s="53">
        <v>0.8726515646869681</v>
      </c>
      <c r="F9" s="51">
        <v>0.3317297949089715</v>
      </c>
      <c r="G9" s="52">
        <v>0.6221090375059761</v>
      </c>
      <c r="H9" s="53">
        <v>0.8496687488840005</v>
      </c>
      <c r="I9" s="51">
        <v>0.3219150771391004</v>
      </c>
      <c r="J9" s="52">
        <v>0.5800019628514781</v>
      </c>
      <c r="K9" s="53">
        <v>0.7996800878488369</v>
      </c>
      <c r="L9" s="51">
        <v>0.35132004146588347</v>
      </c>
      <c r="M9" s="52">
        <v>0.680093212885125</v>
      </c>
      <c r="N9" s="53">
        <v>0.9041213844929539</v>
      </c>
      <c r="O9" s="51">
        <v>0.3587383330686039</v>
      </c>
      <c r="P9" s="52">
        <v>0.6606401768249901</v>
      </c>
      <c r="Q9" s="53">
        <v>0.891237303914773</v>
      </c>
      <c r="R9" s="51">
        <v>0.40013839613594143</v>
      </c>
      <c r="S9" s="52">
        <v>0.7170707724764265</v>
      </c>
      <c r="T9" s="53">
        <v>0.947678772007582</v>
      </c>
    </row>
    <row r="10" spans="1:20" ht="16.5">
      <c r="A10" s="47" t="s">
        <v>175</v>
      </c>
      <c r="B10" s="51">
        <v>0.33196653128287834</v>
      </c>
      <c r="C10" s="52">
        <v>0.6012159360475983</v>
      </c>
      <c r="D10" s="52">
        <v>0.7521931684834415</v>
      </c>
      <c r="E10" s="53">
        <v>0.8190013091013344</v>
      </c>
      <c r="F10" s="51">
        <v>0.3952802249641475</v>
      </c>
      <c r="G10" s="52">
        <v>0.7050470426671491</v>
      </c>
      <c r="H10" s="53">
        <v>0.863713544631962</v>
      </c>
      <c r="I10" s="51">
        <v>0.34760677519251604</v>
      </c>
      <c r="J10" s="52">
        <v>0.6434823459325603</v>
      </c>
      <c r="K10" s="53">
        <v>0.8305041685283518</v>
      </c>
      <c r="L10" s="51">
        <v>0.4573001326794922</v>
      </c>
      <c r="M10" s="52">
        <v>0.7689074093862811</v>
      </c>
      <c r="N10" s="53">
        <v>0.9271999862307136</v>
      </c>
      <c r="O10" s="51">
        <v>0.42341920302125036</v>
      </c>
      <c r="P10" s="52">
        <v>0.7468330999238937</v>
      </c>
      <c r="Q10" s="53">
        <v>0.9332295903931248</v>
      </c>
      <c r="R10" s="51">
        <v>0.466152922575116</v>
      </c>
      <c r="S10" s="52">
        <v>0.8053375593481096</v>
      </c>
      <c r="T10" s="53">
        <v>0.9841973429598614</v>
      </c>
    </row>
    <row r="11" spans="1:20" ht="16.5">
      <c r="A11" s="47" t="s">
        <v>176</v>
      </c>
      <c r="B11" s="51">
        <v>0.36818268482257066</v>
      </c>
      <c r="C11" s="52">
        <v>0.5693784308712736</v>
      </c>
      <c r="D11" s="52">
        <v>0.6599049096397178</v>
      </c>
      <c r="E11" s="53">
        <v>0.7072685383272539</v>
      </c>
      <c r="F11" s="51">
        <v>0.4517088701250265</v>
      </c>
      <c r="G11" s="52">
        <v>0.6812194458059164</v>
      </c>
      <c r="H11" s="53">
        <v>0.7881540783410814</v>
      </c>
      <c r="I11" s="51">
        <v>0.41131462345668446</v>
      </c>
      <c r="J11" s="52">
        <v>0.6690486664758633</v>
      </c>
      <c r="K11" s="53">
        <v>0.7982144130696578</v>
      </c>
      <c r="L11" s="51">
        <v>0.48960046842808014</v>
      </c>
      <c r="M11" s="52">
        <v>0.7375371126775908</v>
      </c>
      <c r="N11" s="53">
        <v>0.851021636330388</v>
      </c>
      <c r="O11" s="51">
        <v>0.48868483323518797</v>
      </c>
      <c r="P11" s="52">
        <v>0.7694422765146168</v>
      </c>
      <c r="Q11" s="53">
        <v>0.8913056571372402</v>
      </c>
      <c r="R11" s="51">
        <v>0.5407215000354616</v>
      </c>
      <c r="S11" s="52">
        <v>0.8251298531800091</v>
      </c>
      <c r="T11" s="53">
        <v>0.9514769506444075</v>
      </c>
    </row>
    <row r="12" spans="1:20" ht="16.5">
      <c r="A12" s="47" t="s">
        <v>177</v>
      </c>
      <c r="B12" s="48">
        <v>0.2810546820215479</v>
      </c>
      <c r="C12" s="49">
        <v>0.40857081357259917</v>
      </c>
      <c r="D12" s="49">
        <v>0.47446450770069437</v>
      </c>
      <c r="E12" s="50">
        <v>0.5197875005817199</v>
      </c>
      <c r="F12" s="51">
        <v>0.3548984969193397</v>
      </c>
      <c r="G12" s="52">
        <v>0.5211532198602308</v>
      </c>
      <c r="H12" s="53">
        <v>0.6060650083241725</v>
      </c>
      <c r="I12" s="51">
        <v>0.38196390350005965</v>
      </c>
      <c r="J12" s="52">
        <v>0.5733298247658868</v>
      </c>
      <c r="K12" s="53">
        <v>0.677741940931124</v>
      </c>
      <c r="L12" s="51">
        <v>0.4037352308024955</v>
      </c>
      <c r="M12" s="52">
        <v>0.5889401137551853</v>
      </c>
      <c r="N12" s="53">
        <v>0.6785237038442421</v>
      </c>
      <c r="O12" s="51">
        <v>0.45828900962084224</v>
      </c>
      <c r="P12" s="52">
        <v>0.6572578498202954</v>
      </c>
      <c r="Q12" s="53">
        <v>0.7528473582733629</v>
      </c>
      <c r="R12" s="51">
        <v>0.4995573483285534</v>
      </c>
      <c r="S12" s="52">
        <v>0.7197900392792979</v>
      </c>
      <c r="T12" s="53">
        <v>0.8174150230806865</v>
      </c>
    </row>
    <row r="13" spans="1:20" ht="16.5">
      <c r="A13" s="47" t="s">
        <v>178</v>
      </c>
      <c r="B13" s="48">
        <v>0.16450377692248552</v>
      </c>
      <c r="C13" s="49">
        <v>0.24951075939283224</v>
      </c>
      <c r="D13" s="49">
        <v>0.3079802519948305</v>
      </c>
      <c r="E13" s="50">
        <v>0.3627248107627269</v>
      </c>
      <c r="F13" s="48">
        <v>0.23217300268278784</v>
      </c>
      <c r="G13" s="49">
        <v>0.35075143788217844</v>
      </c>
      <c r="H13" s="50">
        <v>0.41842640205130954</v>
      </c>
      <c r="I13" s="51">
        <v>0.27557310409878827</v>
      </c>
      <c r="J13" s="52">
        <v>0.4259299219002649</v>
      </c>
      <c r="K13" s="53">
        <v>0.5109221476942334</v>
      </c>
      <c r="L13" s="48">
        <v>0.2735622610290096</v>
      </c>
      <c r="M13" s="49">
        <v>0.4058843092663586</v>
      </c>
      <c r="N13" s="50">
        <v>0.48643097975083927</v>
      </c>
      <c r="O13" s="51">
        <v>0.3141437383990417</v>
      </c>
      <c r="P13" s="52">
        <v>0.4650660914020116</v>
      </c>
      <c r="Q13" s="53">
        <v>0.5533887401656481</v>
      </c>
      <c r="R13" s="51">
        <v>0.36683797632674553</v>
      </c>
      <c r="S13" s="52">
        <v>0.5294503085015467</v>
      </c>
      <c r="T13" s="53">
        <v>0.6244373525527415</v>
      </c>
    </row>
    <row r="14" spans="1:20" ht="16.5">
      <c r="A14" s="47" t="s">
        <v>179</v>
      </c>
      <c r="B14" s="48">
        <v>0.09584631571424321</v>
      </c>
      <c r="C14" s="49">
        <v>0.1632221875757188</v>
      </c>
      <c r="D14" s="49">
        <v>0.22639642325962328</v>
      </c>
      <c r="E14" s="50">
        <v>0.28483382420878267</v>
      </c>
      <c r="F14" s="48">
        <v>0.14356657825354127</v>
      </c>
      <c r="G14" s="49">
        <v>0.22546116428602075</v>
      </c>
      <c r="H14" s="50">
        <v>0.2845805839209593</v>
      </c>
      <c r="I14" s="48">
        <v>0.1898639073666386</v>
      </c>
      <c r="J14" s="49">
        <v>0.2985218427802394</v>
      </c>
      <c r="K14" s="50">
        <v>0.37743078799024304</v>
      </c>
      <c r="L14" s="48">
        <v>0.16739312538951834</v>
      </c>
      <c r="M14" s="49">
        <v>0.2695613554183543</v>
      </c>
      <c r="N14" s="50">
        <v>0.3464366181744938</v>
      </c>
      <c r="O14" s="48">
        <v>0.19827582015704087</v>
      </c>
      <c r="P14" s="49">
        <v>0.31550573421008743</v>
      </c>
      <c r="Q14" s="50">
        <v>0.4004719254986544</v>
      </c>
      <c r="R14" s="48">
        <v>0.22669083671642276</v>
      </c>
      <c r="S14" s="49">
        <v>0.3605038009769973</v>
      </c>
      <c r="T14" s="50">
        <v>0.4560170083372439</v>
      </c>
    </row>
    <row r="15" spans="1:20" ht="16.5">
      <c r="A15" s="54" t="s">
        <v>180</v>
      </c>
      <c r="B15" s="55">
        <v>0.07297107913229392</v>
      </c>
      <c r="C15" s="56">
        <v>0.14139159858308908</v>
      </c>
      <c r="D15" s="56">
        <v>0.20468191440585023</v>
      </c>
      <c r="E15" s="57">
        <v>0.2634824378972733</v>
      </c>
      <c r="F15" s="55">
        <v>0.09252091497653381</v>
      </c>
      <c r="G15" s="56">
        <v>0.15931144488209856</v>
      </c>
      <c r="H15" s="57">
        <v>0.22183573822488242</v>
      </c>
      <c r="I15" s="55">
        <v>0.12811790883340293</v>
      </c>
      <c r="J15" s="56">
        <v>0.22115896478641164</v>
      </c>
      <c r="K15" s="57">
        <v>0.31319481367413016</v>
      </c>
      <c r="L15" s="55">
        <v>0.11796552426474705</v>
      </c>
      <c r="M15" s="56">
        <v>0.2067272721335188</v>
      </c>
      <c r="N15" s="57">
        <v>0.2915660299998303</v>
      </c>
      <c r="O15" s="55">
        <v>0.13933063000242968</v>
      </c>
      <c r="P15" s="56">
        <v>0.24031503365716675</v>
      </c>
      <c r="Q15" s="57">
        <v>0.33981546709090343</v>
      </c>
      <c r="R15" s="55">
        <v>0.1634561785697268</v>
      </c>
      <c r="S15" s="56">
        <v>0.2801281614699938</v>
      </c>
      <c r="T15" s="57">
        <v>0.3966199928213905</v>
      </c>
    </row>
  </sheetData>
  <mergeCells count="6">
    <mergeCell ref="O2:Q2"/>
    <mergeCell ref="R2:T2"/>
    <mergeCell ref="B2:E2"/>
    <mergeCell ref="F2:H2"/>
    <mergeCell ref="I2:K2"/>
    <mergeCell ref="L2:N2"/>
  </mergeCell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8"/>
  <sheetViews>
    <sheetView workbookViewId="0" topLeftCell="A1">
      <selection activeCell="A1" sqref="A1:H1"/>
    </sheetView>
  </sheetViews>
  <sheetFormatPr defaultColWidth="8.875" defaultRowHeight="13.5"/>
  <cols>
    <col min="1" max="1" width="22.125" style="0" customWidth="1"/>
    <col min="2" max="2" width="6.375" style="0" customWidth="1"/>
    <col min="3" max="3" width="16.625" style="0" customWidth="1"/>
    <col min="4" max="4" width="10.625" style="0" customWidth="1"/>
    <col min="5" max="5" width="4.625" style="0" customWidth="1"/>
    <col min="6" max="8" width="10.625" style="0" customWidth="1"/>
    <col min="9" max="9" width="16.125" style="0" customWidth="1"/>
    <col min="10" max="10" width="15.625" style="0" customWidth="1"/>
    <col min="11" max="11" width="11.125" style="0" customWidth="1"/>
    <col min="12" max="12" width="12.50390625" style="0" customWidth="1"/>
    <col min="13" max="13" width="12.625" style="0" customWidth="1"/>
    <col min="14" max="14" width="11.50390625" style="0" customWidth="1"/>
    <col min="15" max="15" width="11.125" style="0" customWidth="1"/>
    <col min="16" max="16" width="10.625" style="0" customWidth="1"/>
    <col min="17" max="22" width="10.875" style="0" customWidth="1"/>
    <col min="23" max="23" width="10.125" style="0" customWidth="1"/>
    <col min="24" max="24" width="6.875" style="0" customWidth="1"/>
  </cols>
  <sheetData>
    <row r="1" spans="1:23" ht="28.5" customHeight="1">
      <c r="A1" s="158" t="s">
        <v>87</v>
      </c>
      <c r="B1" s="158"/>
      <c r="C1" s="158"/>
      <c r="D1" s="158"/>
      <c r="E1" s="158"/>
      <c r="F1" s="158"/>
      <c r="G1" s="158"/>
      <c r="H1" s="158"/>
      <c r="P1" s="194" t="s">
        <v>90</v>
      </c>
      <c r="Q1" s="195"/>
      <c r="R1" s="195"/>
      <c r="S1" s="195"/>
      <c r="T1" s="195"/>
      <c r="U1" s="195"/>
      <c r="V1" s="195"/>
      <c r="W1" s="196"/>
    </row>
    <row r="2" spans="1:23" ht="15" customHeight="1">
      <c r="A2" s="1"/>
      <c r="B2" s="1"/>
      <c r="C2" s="1"/>
      <c r="D2" s="1"/>
      <c r="F2" s="189"/>
      <c r="G2" s="189"/>
      <c r="H2" s="189"/>
      <c r="P2" s="101"/>
      <c r="Q2" s="33"/>
      <c r="R2" s="33"/>
      <c r="S2" s="33"/>
      <c r="T2" s="33"/>
      <c r="U2" s="33"/>
      <c r="V2" s="33"/>
      <c r="W2" s="102"/>
    </row>
    <row r="3" spans="1:23" ht="18" customHeight="1">
      <c r="A3" s="8" t="s">
        <v>186</v>
      </c>
      <c r="B3" s="146"/>
      <c r="C3" s="146"/>
      <c r="E3" s="1" t="s">
        <v>187</v>
      </c>
      <c r="F3" s="2" t="s">
        <v>207</v>
      </c>
      <c r="G3" s="2" t="s">
        <v>89</v>
      </c>
      <c r="H3" s="133"/>
      <c r="I3" s="1" t="s">
        <v>88</v>
      </c>
      <c r="P3" s="65" t="str">
        <f>A3</f>
        <v>サンプル名：</v>
      </c>
      <c r="Q3" s="160">
        <f>IF(B3="","",B3)</f>
      </c>
      <c r="R3" s="160"/>
      <c r="S3" s="33"/>
      <c r="T3" s="14" t="s">
        <v>187</v>
      </c>
      <c r="U3" s="15" t="s">
        <v>207</v>
      </c>
      <c r="V3" s="15" t="s">
        <v>89</v>
      </c>
      <c r="W3" s="103">
        <f>IF(H3="","",H3)</f>
      </c>
    </row>
    <row r="4" spans="1:23" ht="18" customHeight="1">
      <c r="A4" s="7" t="s">
        <v>189</v>
      </c>
      <c r="B4" s="147"/>
      <c r="C4" s="147"/>
      <c r="E4" s="160" t="s">
        <v>110</v>
      </c>
      <c r="F4" s="160"/>
      <c r="G4" s="160"/>
      <c r="H4" s="10" t="s">
        <v>205</v>
      </c>
      <c r="P4" s="99" t="str">
        <f>A4</f>
        <v>分析者：</v>
      </c>
      <c r="Q4" s="160">
        <f>IF(B4="","",B4)</f>
      </c>
      <c r="R4" s="160"/>
      <c r="S4" s="33"/>
      <c r="T4" s="160" t="str">
        <f>E4</f>
        <v>分析日：      　 年　 　月　 　日</v>
      </c>
      <c r="U4" s="160"/>
      <c r="V4" s="160"/>
      <c r="W4" s="104" t="str">
        <f>H4</f>
        <v>～　　　　日</v>
      </c>
    </row>
    <row r="5" spans="1:23" ht="18" customHeight="1">
      <c r="A5" s="1"/>
      <c r="B5" s="1"/>
      <c r="C5" s="1"/>
      <c r="D5" s="1"/>
      <c r="F5" s="1"/>
      <c r="G5" s="172" t="s">
        <v>121</v>
      </c>
      <c r="H5" s="183"/>
      <c r="M5" s="182" t="s">
        <v>27</v>
      </c>
      <c r="N5" s="185"/>
      <c r="O5" s="186"/>
      <c r="P5" s="63"/>
      <c r="Q5" s="14"/>
      <c r="R5" s="14"/>
      <c r="S5" s="14"/>
      <c r="T5" s="33"/>
      <c r="U5" s="14"/>
      <c r="V5" s="172"/>
      <c r="W5" s="184"/>
    </row>
    <row r="6" spans="1:23" ht="18" customHeight="1">
      <c r="A6" s="3" t="s">
        <v>190</v>
      </c>
      <c r="B6" s="148" t="s">
        <v>191</v>
      </c>
      <c r="C6" s="149"/>
      <c r="D6" s="41"/>
      <c r="E6" s="1" t="s">
        <v>209</v>
      </c>
      <c r="G6" s="41"/>
      <c r="H6" s="1" t="s">
        <v>209</v>
      </c>
      <c r="J6" t="s">
        <v>140</v>
      </c>
      <c r="M6" s="175"/>
      <c r="N6" s="175"/>
      <c r="O6" s="187"/>
      <c r="P6" s="105"/>
      <c r="Q6" s="15"/>
      <c r="R6" s="15"/>
      <c r="S6" s="15"/>
      <c r="T6" s="15"/>
      <c r="U6" s="15"/>
      <c r="V6" s="15"/>
      <c r="W6" s="106"/>
    </row>
    <row r="7" spans="1:23" ht="18" customHeight="1">
      <c r="A7" s="1"/>
      <c r="B7" s="148" t="s">
        <v>192</v>
      </c>
      <c r="C7" s="149"/>
      <c r="D7" s="41"/>
      <c r="E7" s="1" t="s">
        <v>210</v>
      </c>
      <c r="G7" s="41"/>
      <c r="H7" s="1" t="s">
        <v>210</v>
      </c>
      <c r="J7" t="s">
        <v>138</v>
      </c>
      <c r="K7" s="20">
        <f>D7-D6</f>
        <v>0</v>
      </c>
      <c r="L7" s="20">
        <f>G7-G6</f>
        <v>0</v>
      </c>
      <c r="M7" t="s">
        <v>195</v>
      </c>
      <c r="N7" s="21" t="e">
        <f>100*(K8+L8)/(K7+L7)</f>
        <v>#DIV/0!</v>
      </c>
      <c r="O7" s="20">
        <f>IF(ISERROR(N7),80,N7)</f>
        <v>80</v>
      </c>
      <c r="P7" s="105"/>
      <c r="Q7" s="33"/>
      <c r="R7" s="160" t="s">
        <v>151</v>
      </c>
      <c r="S7" s="160"/>
      <c r="T7" s="160"/>
      <c r="U7" s="160"/>
      <c r="V7" s="33"/>
      <c r="W7" s="102"/>
    </row>
    <row r="8" spans="1:23" ht="18" customHeight="1">
      <c r="A8" s="1"/>
      <c r="B8" s="148" t="s">
        <v>193</v>
      </c>
      <c r="C8" s="149"/>
      <c r="D8" s="41"/>
      <c r="E8" s="1" t="s">
        <v>211</v>
      </c>
      <c r="G8" s="41"/>
      <c r="H8" s="1" t="s">
        <v>211</v>
      </c>
      <c r="J8" t="s">
        <v>139</v>
      </c>
      <c r="K8" s="20">
        <f>D8-D6</f>
        <v>0</v>
      </c>
      <c r="L8" s="20">
        <f>G8-G6</f>
        <v>0</v>
      </c>
      <c r="M8" t="s">
        <v>141</v>
      </c>
      <c r="N8" s="20" t="e">
        <f>100-N7</f>
        <v>#DIV/0!</v>
      </c>
      <c r="P8" s="105"/>
      <c r="Q8" s="188" t="s">
        <v>16</v>
      </c>
      <c r="R8" s="188" t="s">
        <v>18</v>
      </c>
      <c r="S8" s="188"/>
      <c r="T8" s="188" t="s">
        <v>20</v>
      </c>
      <c r="U8" s="188" t="s">
        <v>84</v>
      </c>
      <c r="V8" s="188" t="s">
        <v>22</v>
      </c>
      <c r="W8" s="190" t="s">
        <v>23</v>
      </c>
    </row>
    <row r="9" spans="1:23" ht="18" customHeight="1">
      <c r="A9" s="1"/>
      <c r="B9" s="1"/>
      <c r="C9" s="1"/>
      <c r="D9" s="1"/>
      <c r="E9" s="1"/>
      <c r="G9" s="1"/>
      <c r="H9" s="1"/>
      <c r="P9" s="105"/>
      <c r="Q9" s="189"/>
      <c r="R9" s="15" t="s">
        <v>19</v>
      </c>
      <c r="S9" s="15" t="s">
        <v>143</v>
      </c>
      <c r="T9" s="189"/>
      <c r="U9" s="189"/>
      <c r="V9" s="189"/>
      <c r="W9" s="191"/>
    </row>
    <row r="10" spans="1:23" ht="18" customHeight="1">
      <c r="A10" s="3" t="s">
        <v>66</v>
      </c>
      <c r="B10" s="148" t="s">
        <v>67</v>
      </c>
      <c r="C10" s="149"/>
      <c r="D10" s="134"/>
      <c r="E10" s="1" t="s">
        <v>211</v>
      </c>
      <c r="F10" s="4" t="s">
        <v>224</v>
      </c>
      <c r="G10" s="135"/>
      <c r="H10" s="1" t="s">
        <v>30</v>
      </c>
      <c r="P10" s="105"/>
      <c r="Q10" s="94" t="s">
        <v>17</v>
      </c>
      <c r="R10" s="192" t="s">
        <v>142</v>
      </c>
      <c r="S10" s="159"/>
      <c r="T10" s="159"/>
      <c r="U10" s="159"/>
      <c r="V10" s="159"/>
      <c r="W10" s="193"/>
    </row>
    <row r="11" spans="1:23" ht="23.25" customHeight="1">
      <c r="A11" s="1"/>
      <c r="B11" s="1"/>
      <c r="C11" s="1"/>
      <c r="D11" s="1"/>
      <c r="E11" s="1"/>
      <c r="G11" s="111"/>
      <c r="H11" s="111" t="s">
        <v>121</v>
      </c>
      <c r="J11" s="174" t="s">
        <v>222</v>
      </c>
      <c r="K11" s="174"/>
      <c r="P11" s="105"/>
      <c r="Q11" s="97" t="str">
        <f>IF(ISERROR(N8),"未測定",N8)</f>
        <v>未測定</v>
      </c>
      <c r="R11" s="97">
        <f>IF(ISERROR(M35),(H3*H3-S19)*O7/100,(IF(ISERROR(N7),(IF(((M13-M35)*4.7*100/O7-2.6)&gt;=0,((M13-M35)*4.7-2.6*O7/100+M13),M13)),R19*O7/100)))</f>
        <v>-1.6</v>
      </c>
      <c r="S11" s="97">
        <f>S19*O7/100</f>
        <v>1.6</v>
      </c>
      <c r="T11" s="97" t="e">
        <f>M16</f>
        <v>#DIV/0!</v>
      </c>
      <c r="U11" s="97" t="e">
        <f>M18</f>
        <v>#DIV/0!</v>
      </c>
      <c r="V11" s="97" t="e">
        <f>M20</f>
        <v>#DIV/0!</v>
      </c>
      <c r="W11" s="108" t="e">
        <f>M22</f>
        <v>#DIV/0!</v>
      </c>
    </row>
    <row r="12" spans="1:23" ht="18" customHeight="1">
      <c r="A12" s="3" t="s">
        <v>68</v>
      </c>
      <c r="B12" s="148" t="s">
        <v>69</v>
      </c>
      <c r="C12" s="149"/>
      <c r="D12" s="135"/>
      <c r="E12" s="1" t="s">
        <v>70</v>
      </c>
      <c r="F12" s="4" t="s">
        <v>71</v>
      </c>
      <c r="G12" s="75"/>
      <c r="H12" s="75"/>
      <c r="I12" s="140" t="e">
        <f>AVERAGE(G12:H12)</f>
        <v>#DIV/0!</v>
      </c>
      <c r="J12" s="140" t="e">
        <f>IF(G14="",I12,(I12-I13)*D14/(I14-I13))</f>
        <v>#DIV/0!</v>
      </c>
      <c r="L12" t="s">
        <v>226</v>
      </c>
      <c r="M12" t="s">
        <v>227</v>
      </c>
      <c r="P12" s="105"/>
      <c r="Q12" s="15"/>
      <c r="R12" s="14"/>
      <c r="S12" s="15"/>
      <c r="T12" s="15"/>
      <c r="U12" s="15"/>
      <c r="V12" s="15"/>
      <c r="W12" s="106"/>
    </row>
    <row r="13" spans="3:23" ht="18" customHeight="1">
      <c r="C13" s="5" t="s">
        <v>117</v>
      </c>
      <c r="D13" s="1">
        <v>0</v>
      </c>
      <c r="E13" s="6" t="s">
        <v>85</v>
      </c>
      <c r="F13" s="71" t="s">
        <v>71</v>
      </c>
      <c r="G13" s="75"/>
      <c r="H13" s="75"/>
      <c r="I13" s="140" t="e">
        <f>AVERAGE(G13:H13)</f>
        <v>#DIV/0!</v>
      </c>
      <c r="L13" s="21">
        <f>IF(ISERROR(N7),"",J12*(D12/1000)*0.777*((G$10+((D$10*$N$8)/100))/(D$10*$N$7/100)))</f>
      </c>
      <c r="M13" s="21" t="e">
        <f>IF(ISERROR(N7),J12*(D12/1000)*0.777*(G$10/D$10),L13*$N$7/100)</f>
        <v>#DIV/0!</v>
      </c>
      <c r="P13" s="105"/>
      <c r="Q13" s="33"/>
      <c r="R13" s="33"/>
      <c r="S13" s="33"/>
      <c r="T13" s="33"/>
      <c r="U13" s="33"/>
      <c r="V13" s="33"/>
      <c r="W13" s="102"/>
    </row>
    <row r="14" spans="1:23" ht="18" customHeight="1">
      <c r="A14" s="1"/>
      <c r="C14" s="5" t="s">
        <v>86</v>
      </c>
      <c r="D14" s="137"/>
      <c r="E14" s="6" t="s">
        <v>85</v>
      </c>
      <c r="F14" s="71" t="s">
        <v>71</v>
      </c>
      <c r="G14" s="75"/>
      <c r="H14" s="75"/>
      <c r="I14" s="140" t="e">
        <f>AVERAGE(G14:H14)</f>
        <v>#DIV/0!</v>
      </c>
      <c r="P14" s="105"/>
      <c r="Q14" s="33"/>
      <c r="R14" s="33"/>
      <c r="S14" s="33"/>
      <c r="T14" s="33"/>
      <c r="U14" s="33"/>
      <c r="V14" s="33"/>
      <c r="W14" s="102"/>
    </row>
    <row r="15" spans="1:23" ht="20.25" customHeight="1">
      <c r="A15" s="1"/>
      <c r="B15" s="1"/>
      <c r="C15" s="1"/>
      <c r="D15" s="1"/>
      <c r="E15" s="1"/>
      <c r="F15" s="1"/>
      <c r="G15" s="24"/>
      <c r="H15" s="24"/>
      <c r="I15" s="141"/>
      <c r="P15" s="105"/>
      <c r="Q15" s="33"/>
      <c r="R15" s="160" t="s">
        <v>28</v>
      </c>
      <c r="S15" s="160"/>
      <c r="T15" s="160"/>
      <c r="U15" s="160"/>
      <c r="V15" s="33"/>
      <c r="W15" s="102"/>
    </row>
    <row r="16" spans="1:23" ht="18" customHeight="1">
      <c r="A16" s="3" t="s">
        <v>73</v>
      </c>
      <c r="B16" s="148" t="s">
        <v>69</v>
      </c>
      <c r="C16" s="149"/>
      <c r="D16" s="135"/>
      <c r="E16" s="1" t="s">
        <v>70</v>
      </c>
      <c r="F16" s="4" t="s">
        <v>71</v>
      </c>
      <c r="G16" s="75"/>
      <c r="H16" s="75"/>
      <c r="I16" s="140" t="e">
        <f>AVERAGE(G16:H16)</f>
        <v>#DIV/0!</v>
      </c>
      <c r="L16" s="21">
        <f>IF(ISERROR(N7),"",I16*(D16/1000)*0.747*1.1*((G$10+((D$10*$N$8)/100))/(D$10*$N$7/100)))</f>
      </c>
      <c r="M16" s="21" t="e">
        <f>IF(ISERROR(N7),I16*(D16/1000)*0.747*1.1*(G$10/D$10),L16*$N$7/100)</f>
        <v>#DIV/0!</v>
      </c>
      <c r="P16" s="105"/>
      <c r="Q16" s="188" t="s">
        <v>16</v>
      </c>
      <c r="R16" s="188" t="s">
        <v>18</v>
      </c>
      <c r="S16" s="188"/>
      <c r="T16" s="188" t="s">
        <v>20</v>
      </c>
      <c r="U16" s="188" t="s">
        <v>84</v>
      </c>
      <c r="V16" s="188" t="s">
        <v>22</v>
      </c>
      <c r="W16" s="190" t="s">
        <v>23</v>
      </c>
    </row>
    <row r="17" spans="1:23" ht="18" customHeight="1">
      <c r="A17" s="1"/>
      <c r="B17" s="1"/>
      <c r="C17" s="1"/>
      <c r="D17" s="1"/>
      <c r="E17" s="1"/>
      <c r="F17" s="1"/>
      <c r="G17" s="24"/>
      <c r="H17" s="24"/>
      <c r="I17" s="141"/>
      <c r="J17" s="181" t="s">
        <v>10</v>
      </c>
      <c r="K17" s="175"/>
      <c r="P17" s="105"/>
      <c r="Q17" s="189"/>
      <c r="R17" s="15" t="s">
        <v>19</v>
      </c>
      <c r="S17" s="15" t="s">
        <v>143</v>
      </c>
      <c r="T17" s="189"/>
      <c r="U17" s="189"/>
      <c r="V17" s="189"/>
      <c r="W17" s="191"/>
    </row>
    <row r="18" spans="1:23" ht="18" customHeight="1">
      <c r="A18" s="3" t="s">
        <v>74</v>
      </c>
      <c r="B18" s="148" t="s">
        <v>69</v>
      </c>
      <c r="C18" s="149"/>
      <c r="D18" s="135"/>
      <c r="E18" s="1" t="s">
        <v>70</v>
      </c>
      <c r="F18" s="4" t="s">
        <v>71</v>
      </c>
      <c r="G18" s="75"/>
      <c r="H18" s="75"/>
      <c r="I18" s="140" t="e">
        <f>AVERAGE(G18:H18)</f>
        <v>#DIV/0!</v>
      </c>
      <c r="J18" s="142" t="e">
        <f>IF(I18&lt;=3,I18-1,I18)</f>
        <v>#DIV/0!</v>
      </c>
      <c r="K18" s="95"/>
      <c r="L18" s="21">
        <f>IF(ISERROR(N7),"",J18*(D18/1000)*1.205*0.85*((G$10+((D$10*$N$8)/100))/(D$10*$N$7/100)))</f>
      </c>
      <c r="M18" s="21" t="e">
        <f>IF(ISERROR(N7),I18*(D18/1000)*1.205*0.85*(G$10/D$10),L18*$N$7/100)</f>
        <v>#DIV/0!</v>
      </c>
      <c r="P18" s="105"/>
      <c r="Q18" s="94" t="s">
        <v>17</v>
      </c>
      <c r="R18" s="192" t="s">
        <v>150</v>
      </c>
      <c r="S18" s="159"/>
      <c r="T18" s="159"/>
      <c r="U18" s="159"/>
      <c r="V18" s="159"/>
      <c r="W18" s="193"/>
    </row>
    <row r="19" spans="1:23" ht="18" customHeight="1">
      <c r="A19" s="1"/>
      <c r="B19" s="1"/>
      <c r="C19" s="1"/>
      <c r="D19" s="1"/>
      <c r="E19" s="1"/>
      <c r="F19" s="1"/>
      <c r="G19" s="24"/>
      <c r="H19" s="24"/>
      <c r="I19" s="141"/>
      <c r="P19" s="105"/>
      <c r="Q19" s="97" t="str">
        <f>IF(ISERROR(N8),"未測定",N8)</f>
        <v>未測定</v>
      </c>
      <c r="R19" s="100">
        <f>IF(ISERROR(M35),H3*H3-S19,(IF(((L13-L35)*4.7-2.6)&gt;=0,((L13-L35)*4.7-2.6+L13),L13)))</f>
        <v>-2</v>
      </c>
      <c r="S19" s="97">
        <v>2</v>
      </c>
      <c r="T19" s="97">
        <f>L16</f>
      </c>
      <c r="U19" s="97">
        <f>L18</f>
      </c>
      <c r="V19" s="97">
        <f>L20</f>
      </c>
      <c r="W19" s="108">
        <f>L22</f>
      </c>
    </row>
    <row r="20" spans="1:23" ht="18" customHeight="1">
      <c r="A20" s="3" t="s">
        <v>76</v>
      </c>
      <c r="B20" s="148" t="s">
        <v>69</v>
      </c>
      <c r="C20" s="149"/>
      <c r="D20" s="135"/>
      <c r="E20" s="1" t="s">
        <v>70</v>
      </c>
      <c r="F20" s="4" t="s">
        <v>71</v>
      </c>
      <c r="G20" s="75"/>
      <c r="H20" s="75"/>
      <c r="I20" s="140" t="e">
        <f>AVERAGE(G20:H20)</f>
        <v>#DIV/0!</v>
      </c>
      <c r="L20" s="21">
        <f>IF(ISERROR(N7),"",I20*(D20/1000)*1.399*((G$10+((D$10*$N$8)/100))/(D$10*$N$7/100)))</f>
      </c>
      <c r="M20" s="21" t="e">
        <f>IF(ISERROR(N7),I20*(D20/1000)*1.399*(G$10/D$10),L20*$N$7/100)</f>
        <v>#DIV/0!</v>
      </c>
      <c r="P20" s="109"/>
      <c r="Q20" s="94"/>
      <c r="R20" s="8"/>
      <c r="S20" s="94"/>
      <c r="T20" s="94"/>
      <c r="U20" s="94"/>
      <c r="V20" s="94"/>
      <c r="W20" s="107"/>
    </row>
    <row r="21" spans="1:23" ht="18" customHeight="1">
      <c r="A21" s="1"/>
      <c r="B21" s="1"/>
      <c r="C21" s="1"/>
      <c r="D21" s="1"/>
      <c r="E21" s="1"/>
      <c r="F21" s="1"/>
      <c r="G21" s="24"/>
      <c r="H21" s="24"/>
      <c r="I21" s="141"/>
      <c r="P21" s="2"/>
      <c r="Q21" s="2"/>
      <c r="R21" s="2"/>
      <c r="S21" s="2"/>
      <c r="T21" s="2"/>
      <c r="U21" s="2"/>
      <c r="V21" s="2"/>
      <c r="W21" s="2"/>
    </row>
    <row r="22" spans="1:23" ht="18" customHeight="1">
      <c r="A22" s="3" t="s">
        <v>75</v>
      </c>
      <c r="B22" s="148" t="s">
        <v>69</v>
      </c>
      <c r="C22" s="149"/>
      <c r="D22" s="135"/>
      <c r="E22" s="1" t="s">
        <v>70</v>
      </c>
      <c r="F22" s="4" t="s">
        <v>71</v>
      </c>
      <c r="G22" s="75"/>
      <c r="H22" s="75"/>
      <c r="I22" s="140" t="e">
        <f>AVERAGE(G22:H22)</f>
        <v>#DIV/0!</v>
      </c>
      <c r="L22" s="21">
        <f>IF(ISERROR(N7),"",I22*(D22/1000)*1.658*((G$10+((D$10*$N$8)/100))/(D$10*$N$7/100)))</f>
      </c>
      <c r="M22" s="21" t="e">
        <f>IF(ISERROR(N7),I22*(D22/1000)*1.658*(G$10/D$10),L22*$N$7/100)</f>
        <v>#DIV/0!</v>
      </c>
      <c r="P22" s="2"/>
      <c r="Q22" s="2"/>
      <c r="R22" s="2"/>
      <c r="S22" s="2"/>
      <c r="T22" s="2"/>
      <c r="U22" s="2"/>
      <c r="V22" s="2"/>
      <c r="W22" s="2"/>
    </row>
    <row r="23" spans="1:23" ht="18" customHeight="1">
      <c r="A23" s="1"/>
      <c r="B23" s="1"/>
      <c r="C23" s="1"/>
      <c r="D23" s="1"/>
      <c r="F23" s="1"/>
      <c r="G23" s="1"/>
      <c r="H23" s="1"/>
      <c r="I23" s="20"/>
      <c r="P23" s="2"/>
      <c r="Q23" s="2"/>
      <c r="R23" s="2"/>
      <c r="S23" s="2"/>
      <c r="T23" s="2"/>
      <c r="U23" s="2"/>
      <c r="V23" s="2"/>
      <c r="W23" s="2"/>
    </row>
    <row r="24" spans="1:23" ht="18" customHeight="1">
      <c r="A24" s="1"/>
      <c r="B24" s="1"/>
      <c r="C24" s="1"/>
      <c r="D24" s="1"/>
      <c r="F24" s="1"/>
      <c r="G24" s="6" t="s">
        <v>45</v>
      </c>
      <c r="H24" s="1"/>
      <c r="I24" s="1"/>
      <c r="J24" s="1"/>
      <c r="K24" s="1"/>
      <c r="L24" s="1"/>
      <c r="M24" s="1"/>
      <c r="P24" s="2"/>
      <c r="Q24" s="2"/>
      <c r="R24" s="2"/>
      <c r="S24" s="2"/>
      <c r="T24" s="2"/>
      <c r="U24" s="2"/>
      <c r="V24" s="2"/>
      <c r="W24" s="2"/>
    </row>
    <row r="25" spans="1:23" ht="18" customHeight="1">
      <c r="A25" s="3" t="s">
        <v>190</v>
      </c>
      <c r="B25" s="148" t="s">
        <v>213</v>
      </c>
      <c r="C25" s="149"/>
      <c r="D25" s="76"/>
      <c r="E25" s="1" t="s">
        <v>209</v>
      </c>
      <c r="G25" s="76"/>
      <c r="H25" s="1" t="s">
        <v>209</v>
      </c>
      <c r="I25" s="1"/>
      <c r="J25" s="1" t="s">
        <v>140</v>
      </c>
      <c r="K25" s="1"/>
      <c r="L25" s="1"/>
      <c r="M25" s="1"/>
      <c r="P25" s="2"/>
      <c r="Q25" s="2"/>
      <c r="R25" s="2"/>
      <c r="S25" s="2"/>
      <c r="T25" s="2"/>
      <c r="U25" s="2"/>
      <c r="V25" s="2"/>
      <c r="W25" s="2"/>
    </row>
    <row r="26" spans="1:23" ht="21.75" customHeight="1">
      <c r="A26" s="148" t="s">
        <v>46</v>
      </c>
      <c r="B26" s="148"/>
      <c r="C26" s="150"/>
      <c r="D26" s="76"/>
      <c r="E26" s="1" t="s">
        <v>209</v>
      </c>
      <c r="G26" s="76"/>
      <c r="H26" s="1" t="s">
        <v>209</v>
      </c>
      <c r="I26" s="1"/>
      <c r="J26" s="4" t="s">
        <v>228</v>
      </c>
      <c r="K26" s="77">
        <f>D26-D25</f>
        <v>0</v>
      </c>
      <c r="L26" s="77">
        <f>G26-G25</f>
        <v>0</v>
      </c>
      <c r="M26" s="1"/>
      <c r="P26" s="2"/>
      <c r="Q26" s="2"/>
      <c r="R26" s="2"/>
      <c r="S26" s="2"/>
      <c r="T26" s="2"/>
      <c r="U26" s="2"/>
      <c r="V26" s="2"/>
      <c r="W26" s="2"/>
    </row>
    <row r="27" spans="1:16" ht="18" customHeight="1">
      <c r="A27" s="1"/>
      <c r="B27" s="148" t="s">
        <v>214</v>
      </c>
      <c r="C27" s="149"/>
      <c r="D27" s="76"/>
      <c r="E27" s="1" t="s">
        <v>47</v>
      </c>
      <c r="G27" s="76"/>
      <c r="H27" s="1" t="s">
        <v>47</v>
      </c>
      <c r="I27" s="1"/>
      <c r="J27" s="4" t="s">
        <v>229</v>
      </c>
      <c r="K27" s="77">
        <f>D27-D25</f>
        <v>0</v>
      </c>
      <c r="L27" s="77">
        <f>G27-G25</f>
        <v>0</v>
      </c>
      <c r="M27" s="1"/>
      <c r="N27" s="1"/>
      <c r="O27" s="1"/>
      <c r="P27" s="1"/>
    </row>
    <row r="28" spans="1:16" ht="18" customHeight="1">
      <c r="A28" s="1"/>
      <c r="B28" s="148" t="s">
        <v>191</v>
      </c>
      <c r="C28" s="149"/>
      <c r="D28" s="76"/>
      <c r="E28" s="1" t="s">
        <v>209</v>
      </c>
      <c r="G28" s="76"/>
      <c r="H28" s="1" t="s">
        <v>209</v>
      </c>
      <c r="I28" s="1"/>
      <c r="J28" s="1"/>
      <c r="K28" s="1"/>
      <c r="L28" s="1"/>
      <c r="M28" s="1"/>
      <c r="N28" s="1"/>
      <c r="O28" s="1"/>
      <c r="P28" s="1"/>
    </row>
    <row r="29" spans="1:16" ht="18" customHeight="1">
      <c r="A29" s="1"/>
      <c r="B29" s="148" t="s">
        <v>215</v>
      </c>
      <c r="C29" s="149"/>
      <c r="D29" s="76"/>
      <c r="E29" s="1" t="s">
        <v>47</v>
      </c>
      <c r="G29" s="76"/>
      <c r="H29" s="1" t="s">
        <v>47</v>
      </c>
      <c r="I29" s="1"/>
      <c r="J29" s="4" t="s">
        <v>230</v>
      </c>
      <c r="K29" s="77">
        <f>D29-D28</f>
        <v>0</v>
      </c>
      <c r="L29" s="77">
        <f>G29-G28</f>
        <v>0</v>
      </c>
      <c r="M29" s="4" t="s">
        <v>231</v>
      </c>
      <c r="N29" s="1" t="s">
        <v>195</v>
      </c>
      <c r="O29" s="1" t="s">
        <v>141</v>
      </c>
      <c r="P29" s="1"/>
    </row>
    <row r="30" spans="1:16" ht="18" customHeight="1">
      <c r="A30" s="1"/>
      <c r="B30" s="148" t="s">
        <v>193</v>
      </c>
      <c r="C30" s="149"/>
      <c r="D30" s="76"/>
      <c r="E30" s="1" t="s">
        <v>211</v>
      </c>
      <c r="G30" s="76"/>
      <c r="H30" s="1" t="s">
        <v>211</v>
      </c>
      <c r="I30" s="1"/>
      <c r="J30" s="4" t="s">
        <v>139</v>
      </c>
      <c r="K30" s="77">
        <f>D30-D28</f>
        <v>0</v>
      </c>
      <c r="L30" s="77">
        <f>G30-G28</f>
        <v>0</v>
      </c>
      <c r="M30" s="1"/>
      <c r="N30" s="22" t="e">
        <f>(K27*K30)/K29/K26*100</f>
        <v>#DIV/0!</v>
      </c>
      <c r="O30" s="22" t="e">
        <f>100-N30</f>
        <v>#DIV/0!</v>
      </c>
      <c r="P30" s="1"/>
    </row>
    <row r="31" spans="1:16" ht="18" customHeight="1">
      <c r="A31" s="1"/>
      <c r="B31" s="1"/>
      <c r="C31" s="1"/>
      <c r="D31" s="1"/>
      <c r="E31" s="1"/>
      <c r="H31" s="1"/>
      <c r="I31" s="1"/>
      <c r="J31" s="1"/>
      <c r="K31" s="1"/>
      <c r="L31" s="1"/>
      <c r="M31" s="1"/>
      <c r="N31" s="22" t="e">
        <f>(L27*L30)/L29/L26*100</f>
        <v>#DIV/0!</v>
      </c>
      <c r="O31" s="22" t="e">
        <f>100-N31</f>
        <v>#DIV/0!</v>
      </c>
      <c r="P31" s="1"/>
    </row>
    <row r="32" spans="1:16" ht="18" customHeight="1">
      <c r="A32" s="3" t="s">
        <v>118</v>
      </c>
      <c r="B32" s="148" t="s">
        <v>67</v>
      </c>
      <c r="C32" s="149"/>
      <c r="D32" s="139"/>
      <c r="E32" s="1" t="s">
        <v>98</v>
      </c>
      <c r="F32" s="4" t="s">
        <v>224</v>
      </c>
      <c r="G32" s="143"/>
      <c r="H32" s="1" t="s">
        <v>223</v>
      </c>
      <c r="N32" s="79" t="e">
        <f>IF(G30="",N30,AVERAGE(N30:N31))</f>
        <v>#DIV/0!</v>
      </c>
      <c r="O32" s="79" t="e">
        <f>IF(G30="",O30,AVERAGE(O30:O31))</f>
        <v>#DIV/0!</v>
      </c>
      <c r="P32" s="1"/>
    </row>
    <row r="33" spans="1:16" ht="23.25" customHeight="1">
      <c r="A33" s="1"/>
      <c r="B33" s="1"/>
      <c r="C33" s="1"/>
      <c r="D33" s="1"/>
      <c r="E33" s="1"/>
      <c r="G33" s="111"/>
      <c r="H33" s="111" t="s">
        <v>121</v>
      </c>
      <c r="J33" s="174" t="s">
        <v>222</v>
      </c>
      <c r="K33" s="174"/>
      <c r="N33" s="1"/>
      <c r="O33" s="1"/>
      <c r="P33" s="1"/>
    </row>
    <row r="34" spans="1:16" ht="18" customHeight="1">
      <c r="A34" s="3" t="s">
        <v>68</v>
      </c>
      <c r="B34" s="148" t="s">
        <v>69</v>
      </c>
      <c r="C34" s="149"/>
      <c r="D34" s="136"/>
      <c r="E34" s="1" t="s">
        <v>70</v>
      </c>
      <c r="F34" s="4" t="s">
        <v>71</v>
      </c>
      <c r="G34" s="139"/>
      <c r="H34" s="139"/>
      <c r="I34" s="140" t="e">
        <f>AVERAGE(G34:H34)</f>
        <v>#DIV/0!</v>
      </c>
      <c r="J34" s="140" t="e">
        <f>IF(G36="",I34,(I34-I35)*D36/(I36-I35))</f>
        <v>#DIV/0!</v>
      </c>
      <c r="L34" t="s">
        <v>226</v>
      </c>
      <c r="M34" t="s">
        <v>227</v>
      </c>
      <c r="N34" s="1"/>
      <c r="O34" s="1"/>
      <c r="P34" s="1"/>
    </row>
    <row r="35" spans="3:13" ht="19.5" customHeight="1">
      <c r="C35" s="5" t="s">
        <v>117</v>
      </c>
      <c r="D35" s="1">
        <v>0</v>
      </c>
      <c r="E35" s="6" t="s">
        <v>99</v>
      </c>
      <c r="F35" s="71" t="s">
        <v>71</v>
      </c>
      <c r="G35" s="139"/>
      <c r="H35" s="139"/>
      <c r="I35" s="140" t="e">
        <f>AVERAGE(G35:H35)</f>
        <v>#DIV/0!</v>
      </c>
      <c r="L35" s="21">
        <f>IF(ISERROR(N7),"",J34*(D34/1000)*0.777*((G$32+((D$32*$N$8)/100))/(D$10*$N$7/100)))</f>
      </c>
      <c r="M35" s="21" t="e">
        <f>IF(ISERROR(N7),J34*(D34/1000)*0.777*(G$32/D$32),L35*$N$7/100)</f>
        <v>#DIV/0!</v>
      </c>
    </row>
    <row r="36" spans="1:9" ht="19.5" customHeight="1">
      <c r="A36" s="1"/>
      <c r="C36" s="5" t="s">
        <v>125</v>
      </c>
      <c r="D36" s="138"/>
      <c r="E36" s="6" t="s">
        <v>99</v>
      </c>
      <c r="F36" s="71" t="s">
        <v>71</v>
      </c>
      <c r="G36" s="139"/>
      <c r="H36" s="139"/>
      <c r="I36" s="140" t="e">
        <f>AVERAGE(G36:H36)</f>
        <v>#DIV/0!</v>
      </c>
    </row>
    <row r="37" spans="1:8" ht="19.5" customHeight="1">
      <c r="A37" s="1"/>
      <c r="B37" s="1"/>
      <c r="C37" s="1"/>
      <c r="D37" s="1"/>
      <c r="E37" s="1"/>
      <c r="G37" s="1"/>
      <c r="H37" s="1"/>
    </row>
    <row r="38" spans="9:13" ht="19.5" customHeight="1">
      <c r="I38" s="1"/>
      <c r="J38" s="1"/>
      <c r="K38" s="1"/>
      <c r="L38" s="1"/>
      <c r="M38" s="1"/>
    </row>
    <row r="39" spans="9:13" ht="19.5" customHeight="1">
      <c r="I39" s="1"/>
      <c r="J39" s="1"/>
      <c r="K39" s="1"/>
      <c r="L39" s="1"/>
      <c r="M39" s="1"/>
    </row>
    <row r="40" spans="9:13" ht="19.5" customHeight="1">
      <c r="I40" s="1"/>
      <c r="J40" s="1"/>
      <c r="K40" s="1"/>
      <c r="L40" s="1"/>
      <c r="M40" s="1"/>
    </row>
    <row r="41" spans="9:16" ht="16.5">
      <c r="I41" s="1"/>
      <c r="J41" s="1"/>
      <c r="K41" s="1"/>
      <c r="L41" s="1"/>
      <c r="M41" s="1"/>
      <c r="N41" s="1"/>
      <c r="O41" s="1"/>
      <c r="P41" s="1"/>
    </row>
    <row r="42" spans="9:16" ht="16.5">
      <c r="I42" s="1"/>
      <c r="J42" s="1"/>
      <c r="K42" s="1"/>
      <c r="L42" s="1"/>
      <c r="M42" s="1"/>
      <c r="N42" s="1"/>
      <c r="O42" s="1"/>
      <c r="P42" s="1"/>
    </row>
    <row r="43" spans="9:16" ht="16.5">
      <c r="I43" s="1"/>
      <c r="J43" s="1"/>
      <c r="K43" s="1"/>
      <c r="L43" s="1"/>
      <c r="M43" s="1"/>
      <c r="N43" s="1"/>
      <c r="O43" s="1"/>
      <c r="P43" s="1"/>
    </row>
    <row r="44" spans="1:16" ht="16.5">
      <c r="A44" s="1"/>
      <c r="B44" s="1"/>
      <c r="C44" s="1"/>
      <c r="D44" s="1"/>
      <c r="E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9:16" ht="16.5">
      <c r="I45" s="1"/>
      <c r="J45" s="1"/>
      <c r="K45" s="1"/>
      <c r="L45" s="1"/>
      <c r="M45" s="1"/>
      <c r="N45" s="1"/>
      <c r="P45" s="1"/>
    </row>
    <row r="46" spans="9:16" ht="19.5" customHeight="1">
      <c r="I46" s="1"/>
      <c r="J46" s="1"/>
      <c r="K46" s="1"/>
      <c r="L46" s="1"/>
      <c r="M46" s="1"/>
      <c r="N46" s="1"/>
      <c r="O46" s="1"/>
      <c r="P46" s="1"/>
    </row>
    <row r="47" spans="9:16" ht="16.5">
      <c r="I47" s="1"/>
      <c r="J47" s="1"/>
      <c r="K47" s="1"/>
      <c r="L47" s="1"/>
      <c r="M47" s="1"/>
      <c r="N47" s="1"/>
      <c r="O47" s="1"/>
      <c r="P47" s="1"/>
    </row>
    <row r="48" spans="9:16" ht="16.5">
      <c r="I48" s="1"/>
      <c r="J48" s="1"/>
      <c r="K48" s="1"/>
      <c r="L48" s="1"/>
      <c r="M48" s="1"/>
      <c r="N48" s="1"/>
      <c r="O48" s="1"/>
      <c r="P48" s="1"/>
    </row>
    <row r="49" spans="9:16" ht="16.5">
      <c r="I49" s="1"/>
      <c r="J49" s="1"/>
      <c r="K49" s="1"/>
      <c r="L49" s="1"/>
      <c r="M49" s="1"/>
      <c r="N49" s="1"/>
      <c r="O49" s="1"/>
      <c r="P49" s="1"/>
    </row>
    <row r="50" spans="9:16" ht="16.5">
      <c r="I50" s="1"/>
      <c r="J50" s="1"/>
      <c r="K50" s="1"/>
      <c r="L50" s="1"/>
      <c r="M50" s="1"/>
      <c r="N50" s="1"/>
      <c r="O50" s="1"/>
      <c r="P50" s="1"/>
    </row>
    <row r="51" spans="9:16" ht="16.5">
      <c r="I51" s="1"/>
      <c r="J51" s="1"/>
      <c r="K51" s="1"/>
      <c r="L51" s="1"/>
      <c r="M51" s="1"/>
      <c r="N51" s="1"/>
      <c r="O51" s="1"/>
      <c r="P51" s="1"/>
    </row>
    <row r="52" spans="9:16" ht="16.5">
      <c r="I52" s="1"/>
      <c r="J52" s="1"/>
      <c r="K52" s="1"/>
      <c r="L52" s="1"/>
      <c r="M52" s="1"/>
      <c r="N52" s="1"/>
      <c r="O52" s="1"/>
      <c r="P52" s="1"/>
    </row>
    <row r="53" spans="9:16" ht="16.5">
      <c r="I53" s="1"/>
      <c r="J53" s="1"/>
      <c r="K53" s="1"/>
      <c r="L53" s="1"/>
      <c r="M53" s="1"/>
      <c r="N53" s="1"/>
      <c r="O53" s="1"/>
      <c r="P53" s="1"/>
    </row>
    <row r="54" spans="9:16" ht="16.5">
      <c r="I54" s="1"/>
      <c r="J54" s="1"/>
      <c r="K54" s="1"/>
      <c r="L54" s="1"/>
      <c r="M54" s="1"/>
      <c r="N54" s="1"/>
      <c r="O54" s="1"/>
      <c r="P54" s="1"/>
    </row>
    <row r="55" spans="9:16" ht="16.5">
      <c r="I55" s="1"/>
      <c r="J55" s="1"/>
      <c r="K55" s="1"/>
      <c r="L55" s="1"/>
      <c r="M55" s="1"/>
      <c r="N55" s="1"/>
      <c r="O55" s="1"/>
      <c r="P55" s="1"/>
    </row>
    <row r="56" spans="9:16" ht="16.5">
      <c r="I56" s="1"/>
      <c r="J56" s="1"/>
      <c r="K56" s="1"/>
      <c r="L56" s="1"/>
      <c r="M56" s="1"/>
      <c r="N56" s="1"/>
      <c r="O56" s="1"/>
      <c r="P56" s="1"/>
    </row>
    <row r="57" spans="9:16" ht="16.5">
      <c r="I57" s="1"/>
      <c r="J57" s="1"/>
      <c r="K57" s="1"/>
      <c r="L57" s="1"/>
      <c r="M57" s="1"/>
      <c r="N57" s="1"/>
      <c r="O57" s="1"/>
      <c r="P57" s="1"/>
    </row>
    <row r="58" spans="9:16" ht="16.5">
      <c r="I58" s="1"/>
      <c r="J58" s="1"/>
      <c r="K58" s="1"/>
      <c r="L58" s="1"/>
      <c r="M58" s="1"/>
      <c r="N58" s="1"/>
      <c r="O58" s="1"/>
      <c r="P58" s="1"/>
    </row>
    <row r="59" spans="9:16" ht="16.5">
      <c r="I59" s="1"/>
      <c r="J59" s="1"/>
      <c r="K59" s="1"/>
      <c r="L59" s="1"/>
      <c r="M59" s="1"/>
      <c r="N59" s="1"/>
      <c r="O59" s="1"/>
      <c r="P59" s="1"/>
    </row>
    <row r="60" spans="9:16" ht="16.5">
      <c r="I60" s="1"/>
      <c r="J60" s="1"/>
      <c r="K60" s="1"/>
      <c r="L60" s="1"/>
      <c r="M60" s="1"/>
      <c r="N60" s="1"/>
      <c r="O60" s="1"/>
      <c r="P60" s="1"/>
    </row>
    <row r="61" spans="9:16" ht="16.5">
      <c r="I61" s="1"/>
      <c r="J61" s="1"/>
      <c r="K61" s="1"/>
      <c r="L61" s="1"/>
      <c r="M61" s="1"/>
      <c r="N61" s="1"/>
      <c r="O61" s="1"/>
      <c r="P61" s="1"/>
    </row>
    <row r="62" spans="9:16" ht="16.5">
      <c r="I62" s="1"/>
      <c r="J62" s="1"/>
      <c r="K62" s="1"/>
      <c r="L62" s="1"/>
      <c r="M62" s="1"/>
      <c r="N62" s="1"/>
      <c r="O62" s="1"/>
      <c r="P62" s="1"/>
    </row>
    <row r="63" spans="9:16" ht="16.5">
      <c r="I63" s="1"/>
      <c r="J63" s="1"/>
      <c r="K63" s="1"/>
      <c r="L63" s="1"/>
      <c r="M63" s="1"/>
      <c r="N63" s="1"/>
      <c r="O63" s="1"/>
      <c r="P63" s="1"/>
    </row>
    <row r="64" spans="9:16" ht="16.5">
      <c r="I64" s="1"/>
      <c r="J64" s="1"/>
      <c r="K64" s="1"/>
      <c r="L64" s="1"/>
      <c r="M64" s="1"/>
      <c r="N64" s="1"/>
      <c r="O64" s="1"/>
      <c r="P64" s="1"/>
    </row>
    <row r="65" spans="9:16" ht="16.5">
      <c r="I65" s="1"/>
      <c r="J65" s="1"/>
      <c r="K65" s="1"/>
      <c r="L65" s="1"/>
      <c r="M65" s="1"/>
      <c r="N65" s="1"/>
      <c r="O65" s="1"/>
      <c r="P65" s="1"/>
    </row>
    <row r="66" spans="9:16" ht="16.5">
      <c r="I66" s="1"/>
      <c r="J66" s="1"/>
      <c r="N66" s="1"/>
      <c r="O66" s="1"/>
      <c r="P66" s="1"/>
    </row>
    <row r="67" spans="14:16" ht="16.5">
      <c r="N67" s="1"/>
      <c r="O67" s="1"/>
      <c r="P67" s="1"/>
    </row>
    <row r="68" spans="14:16" ht="16.5">
      <c r="N68" s="1"/>
      <c r="O68" s="1"/>
      <c r="P68" s="1"/>
    </row>
  </sheetData>
  <mergeCells count="48">
    <mergeCell ref="B20:C20"/>
    <mergeCell ref="B12:C12"/>
    <mergeCell ref="B16:C16"/>
    <mergeCell ref="B18:C18"/>
    <mergeCell ref="B10:C10"/>
    <mergeCell ref="E4:G4"/>
    <mergeCell ref="B4:C4"/>
    <mergeCell ref="B8:C8"/>
    <mergeCell ref="B6:C6"/>
    <mergeCell ref="B7:C7"/>
    <mergeCell ref="J11:K11"/>
    <mergeCell ref="J17:K17"/>
    <mergeCell ref="V5:W5"/>
    <mergeCell ref="Q4:R4"/>
    <mergeCell ref="G5:H5"/>
    <mergeCell ref="M5:O6"/>
    <mergeCell ref="Q16:Q17"/>
    <mergeCell ref="R16:S16"/>
    <mergeCell ref="T16:T17"/>
    <mergeCell ref="U16:U17"/>
    <mergeCell ref="A1:H1"/>
    <mergeCell ref="F2:H2"/>
    <mergeCell ref="B3:C3"/>
    <mergeCell ref="P1:W1"/>
    <mergeCell ref="Q3:R3"/>
    <mergeCell ref="T4:V4"/>
    <mergeCell ref="Q8:Q9"/>
    <mergeCell ref="T8:T9"/>
    <mergeCell ref="U8:U9"/>
    <mergeCell ref="V16:V17"/>
    <mergeCell ref="W16:W17"/>
    <mergeCell ref="R18:W18"/>
    <mergeCell ref="R7:U7"/>
    <mergeCell ref="R15:U15"/>
    <mergeCell ref="R8:S8"/>
    <mergeCell ref="R10:W10"/>
    <mergeCell ref="W8:W9"/>
    <mergeCell ref="V8:V9"/>
    <mergeCell ref="B32:C32"/>
    <mergeCell ref="B34:C34"/>
    <mergeCell ref="J33:K33"/>
    <mergeCell ref="B22:C22"/>
    <mergeCell ref="B28:C28"/>
    <mergeCell ref="B29:C29"/>
    <mergeCell ref="B30:C30"/>
    <mergeCell ref="B25:C25"/>
    <mergeCell ref="B27:C27"/>
    <mergeCell ref="A26:C26"/>
  </mergeCells>
  <printOptions/>
  <pageMargins left="0.6" right="0.55" top="0.85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NARO-NARC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 ISHIOKA</dc:creator>
  <cp:keywords/>
  <dc:description/>
  <cp:lastModifiedBy>ISHIOKA gen</cp:lastModifiedBy>
  <cp:lastPrinted>2010-03-03T00:34:56Z</cp:lastPrinted>
  <dcterms:created xsi:type="dcterms:W3CDTF">2010-01-26T06:52:22Z</dcterms:created>
  <dcterms:modified xsi:type="dcterms:W3CDTF">2010-07-02T08:47:09Z</dcterms:modified>
  <cp:category/>
  <cp:version/>
  <cp:contentType/>
  <cp:contentStatus/>
</cp:coreProperties>
</file>